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am\Desktop\Adam\New ProjectionHub\"/>
    </mc:Choice>
  </mc:AlternateContent>
  <bookViews>
    <workbookView xWindow="0" yWindow="0" windowWidth="20490" windowHeight="7650"/>
  </bookViews>
  <sheets>
    <sheet name="ProjectionHub" sheetId="32" r:id="rId1"/>
    <sheet name="DATA" sheetId="1" r:id="rId2"/>
    <sheet name="RevenueModule" sheetId="29" r:id="rId3"/>
    <sheet name="Manufacturing Setup" sheetId="31" r:id="rId4"/>
    <sheet name="Inventory Module" sheetId="30" r:id="rId5"/>
    <sheet name="LoanModule" sheetId="2" r:id="rId6"/>
    <sheet name="SalaryModule" sheetId="3" r:id="rId7"/>
    <sheet name="StartupCosts" sheetId="4" state="hidden" r:id="rId8"/>
    <sheet name="IncomeStatement_Year1" sheetId="5" r:id="rId9"/>
    <sheet name="IncomeStatement_Year2" sheetId="6" r:id="rId10"/>
    <sheet name="IncomeStatement_Year3" sheetId="7" r:id="rId11"/>
    <sheet name="IncomeStatement_Year4" sheetId="21" r:id="rId12"/>
    <sheet name="IncomeStatement_Year5" sheetId="22" r:id="rId13"/>
    <sheet name="CashFlowStatement_Year1" sheetId="8" r:id="rId14"/>
    <sheet name="CashFlowStatement_Year2" sheetId="9" r:id="rId15"/>
    <sheet name="CashFlowStatement_Year3" sheetId="10" r:id="rId16"/>
    <sheet name="CashFlowStatement_Year4" sheetId="24" r:id="rId17"/>
    <sheet name="CashFlowStatement_Year5" sheetId="23" r:id="rId18"/>
    <sheet name="BalanceSheet_Year1" sheetId="11" r:id="rId19"/>
    <sheet name="BalanceSheet_Year2" sheetId="12" r:id="rId20"/>
    <sheet name="BalanceSheet_Year3" sheetId="13" r:id="rId21"/>
    <sheet name="BalanceSheet_Year4" sheetId="26" r:id="rId22"/>
    <sheet name="BalanceSheet_Year5" sheetId="25" r:id="rId23"/>
    <sheet name="AnnualSummary" sheetId="15" r:id="rId24"/>
    <sheet name="Dashboard" sheetId="19" r:id="rId25"/>
    <sheet name="Graphs for Dashboard" sheetId="16" r:id="rId26"/>
  </sheets>
  <definedNames>
    <definedName name="valuevx">42.314159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" i="32" l="1"/>
  <c r="B79" i="1"/>
  <c r="B84" i="1"/>
  <c r="B85" i="1"/>
  <c r="B7" i="5"/>
  <c r="B8" i="5"/>
  <c r="B83" i="29"/>
  <c r="B36" i="1"/>
  <c r="B80" i="1"/>
  <c r="B10" i="5"/>
  <c r="B34" i="1"/>
  <c r="B81" i="1"/>
  <c r="B11" i="5"/>
  <c r="B12" i="5"/>
  <c r="B14" i="5"/>
  <c r="B43" i="1"/>
  <c r="B18" i="5"/>
  <c r="B45" i="1"/>
  <c r="B19" i="5"/>
  <c r="B46" i="1"/>
  <c r="B20" i="5"/>
  <c r="B48" i="1"/>
  <c r="B21" i="5"/>
  <c r="B50" i="1"/>
  <c r="B22" i="5"/>
  <c r="B30" i="5"/>
  <c r="B83" i="1"/>
  <c r="B31" i="5"/>
  <c r="B32" i="5"/>
  <c r="B34" i="5"/>
  <c r="C79" i="1"/>
  <c r="C84" i="1"/>
  <c r="C85" i="1"/>
  <c r="C7" i="5"/>
  <c r="C8" i="5"/>
  <c r="C76" i="29"/>
  <c r="C78" i="29"/>
  <c r="C80" i="29"/>
  <c r="C83" i="29"/>
  <c r="C36" i="1"/>
  <c r="C80" i="1"/>
  <c r="C10" i="5"/>
  <c r="C34" i="1"/>
  <c r="C81" i="1"/>
  <c r="C11" i="5"/>
  <c r="C12" i="5"/>
  <c r="C14" i="5"/>
  <c r="C43" i="1"/>
  <c r="C18" i="5"/>
  <c r="C45" i="1"/>
  <c r="C19" i="5"/>
  <c r="C46" i="1"/>
  <c r="C20" i="5"/>
  <c r="C48" i="1"/>
  <c r="C21" i="5"/>
  <c r="C50" i="1"/>
  <c r="C22" i="5"/>
  <c r="C30" i="5"/>
  <c r="C83" i="1"/>
  <c r="C31" i="5"/>
  <c r="C32" i="5"/>
  <c r="C34" i="5"/>
  <c r="D79" i="1"/>
  <c r="D84" i="1"/>
  <c r="D85" i="1"/>
  <c r="D7" i="5"/>
  <c r="D8" i="5"/>
  <c r="D76" i="29"/>
  <c r="D78" i="29"/>
  <c r="D80" i="29"/>
  <c r="D83" i="29"/>
  <c r="D36" i="1"/>
  <c r="D80" i="1"/>
  <c r="D10" i="5"/>
  <c r="D34" i="1"/>
  <c r="D81" i="1"/>
  <c r="D11" i="5"/>
  <c r="D12" i="5"/>
  <c r="D14" i="5"/>
  <c r="D43" i="1"/>
  <c r="D18" i="5"/>
  <c r="D45" i="1"/>
  <c r="D19" i="5"/>
  <c r="D46" i="1"/>
  <c r="D20" i="5"/>
  <c r="D48" i="1"/>
  <c r="D21" i="5"/>
  <c r="D50" i="1"/>
  <c r="D22" i="5"/>
  <c r="D30" i="5"/>
  <c r="D83" i="1"/>
  <c r="D31" i="5"/>
  <c r="D32" i="5"/>
  <c r="D34" i="5"/>
  <c r="E79" i="1"/>
  <c r="E84" i="1"/>
  <c r="E85" i="1"/>
  <c r="E7" i="5"/>
  <c r="E8" i="5"/>
  <c r="E76" i="29"/>
  <c r="E78" i="29"/>
  <c r="E80" i="29"/>
  <c r="E83" i="29"/>
  <c r="E36" i="1"/>
  <c r="E80" i="1"/>
  <c r="E10" i="5"/>
  <c r="E34" i="1"/>
  <c r="E81" i="1"/>
  <c r="E11" i="5"/>
  <c r="E12" i="5"/>
  <c r="E14" i="5"/>
  <c r="E43" i="1"/>
  <c r="E18" i="5"/>
  <c r="E45" i="1"/>
  <c r="E19" i="5"/>
  <c r="E46" i="1"/>
  <c r="E20" i="5"/>
  <c r="E48" i="1"/>
  <c r="E21" i="5"/>
  <c r="E50" i="1"/>
  <c r="E22" i="5"/>
  <c r="E56" i="1"/>
  <c r="E25" i="5"/>
  <c r="E30" i="5"/>
  <c r="E83" i="1"/>
  <c r="E31" i="5"/>
  <c r="E32" i="5"/>
  <c r="E34" i="5"/>
  <c r="F79" i="1"/>
  <c r="F84" i="1"/>
  <c r="F85" i="1"/>
  <c r="F7" i="5"/>
  <c r="F8" i="5"/>
  <c r="F76" i="29"/>
  <c r="F78" i="29"/>
  <c r="F80" i="29"/>
  <c r="F83" i="29"/>
  <c r="F36" i="1"/>
  <c r="F80" i="1"/>
  <c r="F10" i="5"/>
  <c r="F34" i="1"/>
  <c r="F81" i="1"/>
  <c r="F11" i="5"/>
  <c r="F12" i="5"/>
  <c r="F14" i="5"/>
  <c r="F43" i="1"/>
  <c r="F18" i="5"/>
  <c r="F45" i="1"/>
  <c r="F19" i="5"/>
  <c r="F46" i="1"/>
  <c r="F20" i="5"/>
  <c r="F48" i="1"/>
  <c r="F21" i="5"/>
  <c r="F50" i="1"/>
  <c r="F22" i="5"/>
  <c r="F56" i="1"/>
  <c r="F25" i="5"/>
  <c r="F30" i="5"/>
  <c r="F83" i="1"/>
  <c r="F31" i="5"/>
  <c r="F32" i="5"/>
  <c r="F34" i="5"/>
  <c r="G79" i="1"/>
  <c r="G84" i="1"/>
  <c r="G85" i="1"/>
  <c r="G7" i="5"/>
  <c r="G8" i="5"/>
  <c r="G76" i="29"/>
  <c r="G78" i="29"/>
  <c r="G80" i="29"/>
  <c r="G83" i="29"/>
  <c r="G36" i="1"/>
  <c r="G80" i="1"/>
  <c r="G10" i="5"/>
  <c r="G34" i="1"/>
  <c r="G81" i="1"/>
  <c r="G11" i="5"/>
  <c r="G12" i="5"/>
  <c r="G14" i="5"/>
  <c r="G43" i="1"/>
  <c r="G18" i="5"/>
  <c r="G45" i="1"/>
  <c r="G19" i="5"/>
  <c r="G46" i="1"/>
  <c r="G20" i="5"/>
  <c r="G48" i="1"/>
  <c r="G21" i="5"/>
  <c r="G50" i="1"/>
  <c r="G22" i="5"/>
  <c r="G56" i="1"/>
  <c r="G25" i="5"/>
  <c r="G30" i="5"/>
  <c r="G83" i="1"/>
  <c r="G31" i="5"/>
  <c r="G32" i="5"/>
  <c r="G34" i="5"/>
  <c r="H79" i="1"/>
  <c r="H84" i="1"/>
  <c r="H85" i="1"/>
  <c r="H7" i="5"/>
  <c r="H8" i="5"/>
  <c r="H76" i="29"/>
  <c r="H78" i="29"/>
  <c r="H80" i="29"/>
  <c r="H83" i="29"/>
  <c r="H36" i="1"/>
  <c r="H80" i="1"/>
  <c r="H10" i="5"/>
  <c r="H34" i="1"/>
  <c r="H81" i="1"/>
  <c r="H11" i="5"/>
  <c r="H12" i="5"/>
  <c r="H14" i="5"/>
  <c r="H43" i="1"/>
  <c r="H18" i="5"/>
  <c r="H45" i="1"/>
  <c r="H19" i="5"/>
  <c r="H46" i="1"/>
  <c r="H20" i="5"/>
  <c r="H48" i="1"/>
  <c r="H21" i="5"/>
  <c r="H50" i="1"/>
  <c r="H22" i="5"/>
  <c r="H56" i="1"/>
  <c r="H25" i="5"/>
  <c r="H30" i="5"/>
  <c r="H83" i="1"/>
  <c r="H31" i="5"/>
  <c r="H32" i="5"/>
  <c r="H34" i="5"/>
  <c r="I79" i="1"/>
  <c r="I84" i="1"/>
  <c r="I85" i="1"/>
  <c r="I7" i="5"/>
  <c r="I8" i="5"/>
  <c r="I76" i="29"/>
  <c r="I78" i="29"/>
  <c r="I80" i="29"/>
  <c r="I83" i="29"/>
  <c r="I36" i="1"/>
  <c r="I80" i="1"/>
  <c r="I10" i="5"/>
  <c r="I34" i="1"/>
  <c r="I81" i="1"/>
  <c r="I11" i="5"/>
  <c r="I12" i="5"/>
  <c r="I14" i="5"/>
  <c r="I43" i="1"/>
  <c r="I18" i="5"/>
  <c r="I45" i="1"/>
  <c r="I19" i="5"/>
  <c r="I46" i="1"/>
  <c r="I20" i="5"/>
  <c r="I48" i="1"/>
  <c r="I21" i="5"/>
  <c r="I50" i="1"/>
  <c r="I22" i="5"/>
  <c r="I56" i="1"/>
  <c r="I25" i="5"/>
  <c r="I30" i="5"/>
  <c r="I83" i="1"/>
  <c r="I31" i="5"/>
  <c r="I32" i="5"/>
  <c r="I34" i="5"/>
  <c r="J79" i="1"/>
  <c r="J84" i="1"/>
  <c r="J85" i="1"/>
  <c r="J7" i="5"/>
  <c r="J8" i="5"/>
  <c r="J76" i="29"/>
  <c r="J78" i="29"/>
  <c r="J80" i="29"/>
  <c r="J83" i="29"/>
  <c r="J36" i="1"/>
  <c r="J80" i="1"/>
  <c r="J10" i="5"/>
  <c r="J34" i="1"/>
  <c r="J81" i="1"/>
  <c r="J11" i="5"/>
  <c r="J12" i="5"/>
  <c r="J14" i="5"/>
  <c r="J43" i="1"/>
  <c r="J18" i="5"/>
  <c r="J45" i="1"/>
  <c r="J19" i="5"/>
  <c r="J46" i="1"/>
  <c r="J20" i="5"/>
  <c r="J48" i="1"/>
  <c r="J21" i="5"/>
  <c r="J50" i="1"/>
  <c r="J22" i="5"/>
  <c r="J56" i="1"/>
  <c r="J25" i="5"/>
  <c r="J30" i="5"/>
  <c r="J83" i="1"/>
  <c r="J31" i="5"/>
  <c r="J32" i="5"/>
  <c r="J34" i="5"/>
  <c r="K79" i="1"/>
  <c r="K84" i="1"/>
  <c r="K85" i="1"/>
  <c r="K7" i="5"/>
  <c r="K8" i="5"/>
  <c r="K76" i="29"/>
  <c r="K78" i="29"/>
  <c r="K80" i="29"/>
  <c r="K83" i="29"/>
  <c r="K36" i="1"/>
  <c r="K80" i="1"/>
  <c r="K10" i="5"/>
  <c r="K34" i="1"/>
  <c r="K81" i="1"/>
  <c r="K11" i="5"/>
  <c r="K12" i="5"/>
  <c r="K14" i="5"/>
  <c r="K43" i="1"/>
  <c r="K18" i="5"/>
  <c r="K45" i="1"/>
  <c r="K19" i="5"/>
  <c r="K46" i="1"/>
  <c r="K20" i="5"/>
  <c r="K48" i="1"/>
  <c r="K21" i="5"/>
  <c r="K50" i="1"/>
  <c r="K22" i="5"/>
  <c r="K56" i="1"/>
  <c r="K25" i="5"/>
  <c r="K30" i="5"/>
  <c r="K83" i="1"/>
  <c r="K31" i="5"/>
  <c r="K32" i="5"/>
  <c r="K34" i="5"/>
  <c r="L79" i="1"/>
  <c r="L84" i="1"/>
  <c r="L85" i="1"/>
  <c r="L7" i="5"/>
  <c r="L8" i="5"/>
  <c r="L76" i="29"/>
  <c r="L78" i="29"/>
  <c r="L80" i="29"/>
  <c r="L83" i="29"/>
  <c r="L36" i="1"/>
  <c r="L80" i="1"/>
  <c r="L10" i="5"/>
  <c r="L34" i="1"/>
  <c r="L81" i="1"/>
  <c r="L11" i="5"/>
  <c r="L12" i="5"/>
  <c r="L14" i="5"/>
  <c r="L43" i="1"/>
  <c r="L18" i="5"/>
  <c r="L45" i="1"/>
  <c r="L19" i="5"/>
  <c r="L46" i="1"/>
  <c r="L20" i="5"/>
  <c r="L48" i="1"/>
  <c r="L21" i="5"/>
  <c r="L50" i="1"/>
  <c r="L22" i="5"/>
  <c r="L56" i="1"/>
  <c r="L25" i="5"/>
  <c r="L30" i="5"/>
  <c r="L83" i="1"/>
  <c r="L31" i="5"/>
  <c r="L32" i="5"/>
  <c r="L34" i="5"/>
  <c r="M79" i="1"/>
  <c r="M84" i="1"/>
  <c r="M85" i="1"/>
  <c r="M7" i="5"/>
  <c r="M8" i="5"/>
  <c r="M76" i="29"/>
  <c r="M78" i="29"/>
  <c r="M80" i="29"/>
  <c r="M83" i="29"/>
  <c r="M36" i="1"/>
  <c r="M80" i="1"/>
  <c r="M10" i="5"/>
  <c r="M34" i="1"/>
  <c r="M81" i="1"/>
  <c r="M11" i="5"/>
  <c r="M12" i="5"/>
  <c r="M14" i="5"/>
  <c r="M43" i="1"/>
  <c r="M18" i="5"/>
  <c r="M45" i="1"/>
  <c r="M19" i="5"/>
  <c r="M46" i="1"/>
  <c r="M20" i="5"/>
  <c r="M48" i="1"/>
  <c r="M21" i="5"/>
  <c r="M50" i="1"/>
  <c r="M22" i="5"/>
  <c r="M56" i="1"/>
  <c r="M25" i="5"/>
  <c r="M30" i="5"/>
  <c r="M83" i="1"/>
  <c r="M31" i="5"/>
  <c r="M32" i="5"/>
  <c r="M34" i="5"/>
  <c r="N34" i="5"/>
  <c r="N36" i="5"/>
  <c r="B36" i="5"/>
  <c r="B38" i="5"/>
  <c r="C36" i="5"/>
  <c r="C38" i="5"/>
  <c r="D36" i="5"/>
  <c r="D38" i="5"/>
  <c r="E36" i="5"/>
  <c r="E38" i="5"/>
  <c r="F36" i="5"/>
  <c r="F38" i="5"/>
  <c r="G36" i="5"/>
  <c r="G38" i="5"/>
  <c r="H36" i="5"/>
  <c r="H38" i="5"/>
  <c r="I36" i="5"/>
  <c r="I38" i="5"/>
  <c r="J36" i="5"/>
  <c r="J38" i="5"/>
  <c r="K36" i="5"/>
  <c r="K38" i="5"/>
  <c r="L36" i="5"/>
  <c r="L38" i="5"/>
  <c r="M36" i="5"/>
  <c r="M38" i="5"/>
  <c r="N38" i="5"/>
  <c r="B33" i="15"/>
  <c r="N79" i="1"/>
  <c r="N43" i="1"/>
  <c r="B18" i="6"/>
  <c r="N50" i="1"/>
  <c r="B22" i="6"/>
  <c r="C52" i="1"/>
  <c r="D52" i="1"/>
  <c r="E52" i="1"/>
  <c r="F52" i="1"/>
  <c r="G52" i="1"/>
  <c r="H52" i="1"/>
  <c r="I52" i="1"/>
  <c r="J52" i="1"/>
  <c r="K52" i="1"/>
  <c r="L52" i="1"/>
  <c r="M52" i="1"/>
  <c r="N52" i="1"/>
  <c r="B23" i="6"/>
  <c r="C54" i="1"/>
  <c r="D54" i="1"/>
  <c r="E54" i="1"/>
  <c r="F54" i="1"/>
  <c r="G54" i="1"/>
  <c r="H54" i="1"/>
  <c r="I54" i="1"/>
  <c r="J54" i="1"/>
  <c r="K54" i="1"/>
  <c r="L54" i="1"/>
  <c r="M54" i="1"/>
  <c r="N54" i="1"/>
  <c r="B24" i="6"/>
  <c r="N56" i="1"/>
  <c r="B25" i="6"/>
  <c r="B26" i="6"/>
  <c r="C59" i="1"/>
  <c r="D59" i="1"/>
  <c r="E59" i="1"/>
  <c r="F59" i="1"/>
  <c r="G59" i="1"/>
  <c r="H59" i="1"/>
  <c r="I59" i="1"/>
  <c r="J59" i="1"/>
  <c r="K59" i="1"/>
  <c r="L59" i="1"/>
  <c r="M59" i="1"/>
  <c r="N59" i="1"/>
  <c r="B27" i="6"/>
  <c r="C61" i="1"/>
  <c r="D61" i="1"/>
  <c r="E61" i="1"/>
  <c r="F61" i="1"/>
  <c r="G61" i="1"/>
  <c r="H61" i="1"/>
  <c r="I61" i="1"/>
  <c r="J61" i="1"/>
  <c r="K61" i="1"/>
  <c r="L61" i="1"/>
  <c r="M61" i="1"/>
  <c r="N61" i="1"/>
  <c r="B28" i="6"/>
  <c r="N45" i="1"/>
  <c r="B19" i="6"/>
  <c r="N46" i="1"/>
  <c r="B20" i="6"/>
  <c r="N48" i="1"/>
  <c r="B21" i="6"/>
  <c r="B30" i="6"/>
  <c r="N83" i="1"/>
  <c r="B31" i="6"/>
  <c r="B32" i="6"/>
  <c r="N84" i="1"/>
  <c r="N85" i="1"/>
  <c r="B7" i="6"/>
  <c r="B8" i="6"/>
  <c r="N76" i="29"/>
  <c r="N78" i="29"/>
  <c r="N80" i="29"/>
  <c r="N83" i="29"/>
  <c r="N36" i="1"/>
  <c r="N80" i="1"/>
  <c r="B10" i="6"/>
  <c r="N34" i="1"/>
  <c r="N81" i="1"/>
  <c r="B11" i="6"/>
  <c r="B12" i="6"/>
  <c r="B14" i="6"/>
  <c r="B34" i="6"/>
  <c r="O79" i="1"/>
  <c r="O43" i="1"/>
  <c r="C18" i="6"/>
  <c r="O50" i="1"/>
  <c r="C22" i="6"/>
  <c r="O52" i="1"/>
  <c r="C23" i="6"/>
  <c r="O54" i="1"/>
  <c r="C24" i="6"/>
  <c r="O56" i="1"/>
  <c r="C25" i="6"/>
  <c r="C26" i="6"/>
  <c r="O59" i="1"/>
  <c r="C27" i="6"/>
  <c r="O61" i="1"/>
  <c r="C28" i="6"/>
  <c r="O45" i="1"/>
  <c r="C19" i="6"/>
  <c r="O46" i="1"/>
  <c r="C20" i="6"/>
  <c r="O48" i="1"/>
  <c r="C21" i="6"/>
  <c r="C30" i="6"/>
  <c r="O83" i="1"/>
  <c r="C31" i="6"/>
  <c r="C32" i="6"/>
  <c r="O84" i="1"/>
  <c r="O85" i="1"/>
  <c r="C7" i="6"/>
  <c r="C8" i="6"/>
  <c r="O76" i="29"/>
  <c r="O78" i="29"/>
  <c r="O80" i="29"/>
  <c r="O83" i="29"/>
  <c r="O36" i="1"/>
  <c r="O80" i="1"/>
  <c r="C10" i="6"/>
  <c r="O67" i="29"/>
  <c r="O69" i="29"/>
  <c r="O71" i="29"/>
  <c r="O74" i="29"/>
  <c r="O34" i="1"/>
  <c r="O81" i="1"/>
  <c r="C11" i="6"/>
  <c r="C12" i="6"/>
  <c r="C14" i="6"/>
  <c r="C34" i="6"/>
  <c r="P79" i="1"/>
  <c r="P43" i="1"/>
  <c r="D18" i="6"/>
  <c r="P50" i="1"/>
  <c r="D22" i="6"/>
  <c r="P52" i="1"/>
  <c r="D23" i="6"/>
  <c r="P54" i="1"/>
  <c r="D24" i="6"/>
  <c r="P56" i="1"/>
  <c r="D25" i="6"/>
  <c r="D26" i="6"/>
  <c r="P59" i="1"/>
  <c r="D27" i="6"/>
  <c r="P61" i="1"/>
  <c r="D28" i="6"/>
  <c r="P45" i="1"/>
  <c r="D19" i="6"/>
  <c r="P46" i="1"/>
  <c r="D20" i="6"/>
  <c r="P48" i="1"/>
  <c r="D21" i="6"/>
  <c r="D30" i="6"/>
  <c r="P83" i="1"/>
  <c r="D31" i="6"/>
  <c r="D32" i="6"/>
  <c r="P84" i="1"/>
  <c r="P85" i="1"/>
  <c r="D7" i="6"/>
  <c r="D8" i="6"/>
  <c r="P76" i="29"/>
  <c r="P78" i="29"/>
  <c r="P80" i="29"/>
  <c r="P83" i="29"/>
  <c r="P36" i="1"/>
  <c r="P80" i="1"/>
  <c r="D10" i="6"/>
  <c r="P67" i="29"/>
  <c r="P69" i="29"/>
  <c r="P71" i="29"/>
  <c r="P74" i="29"/>
  <c r="P34" i="1"/>
  <c r="P81" i="1"/>
  <c r="D11" i="6"/>
  <c r="D12" i="6"/>
  <c r="D14" i="6"/>
  <c r="D34" i="6"/>
  <c r="Q79" i="1"/>
  <c r="Q43" i="1"/>
  <c r="E18" i="6"/>
  <c r="Q50" i="1"/>
  <c r="E22" i="6"/>
  <c r="Q52" i="1"/>
  <c r="E23" i="6"/>
  <c r="Q54" i="1"/>
  <c r="E24" i="6"/>
  <c r="Q56" i="1"/>
  <c r="E25" i="6"/>
  <c r="E26" i="6"/>
  <c r="Q59" i="1"/>
  <c r="E27" i="6"/>
  <c r="Q61" i="1"/>
  <c r="E28" i="6"/>
  <c r="Q45" i="1"/>
  <c r="E19" i="6"/>
  <c r="Q46" i="1"/>
  <c r="E20" i="6"/>
  <c r="Q48" i="1"/>
  <c r="E21" i="6"/>
  <c r="E30" i="6"/>
  <c r="Q83" i="1"/>
  <c r="E31" i="6"/>
  <c r="E32" i="6"/>
  <c r="Q84" i="1"/>
  <c r="Q85" i="1"/>
  <c r="E7" i="6"/>
  <c r="E8" i="6"/>
  <c r="Q76" i="29"/>
  <c r="Q78" i="29"/>
  <c r="Q80" i="29"/>
  <c r="Q83" i="29"/>
  <c r="Q36" i="1"/>
  <c r="Q80" i="1"/>
  <c r="E10" i="6"/>
  <c r="Q67" i="29"/>
  <c r="Q69" i="29"/>
  <c r="Q71" i="29"/>
  <c r="Q74" i="29"/>
  <c r="Q34" i="1"/>
  <c r="Q81" i="1"/>
  <c r="E11" i="6"/>
  <c r="E12" i="6"/>
  <c r="E14" i="6"/>
  <c r="E34" i="6"/>
  <c r="R79" i="1"/>
  <c r="R43" i="1"/>
  <c r="F18" i="6"/>
  <c r="R50" i="1"/>
  <c r="F22" i="6"/>
  <c r="R52" i="1"/>
  <c r="F23" i="6"/>
  <c r="R54" i="1"/>
  <c r="F24" i="6"/>
  <c r="R56" i="1"/>
  <c r="F25" i="6"/>
  <c r="F26" i="6"/>
  <c r="R59" i="1"/>
  <c r="F27" i="6"/>
  <c r="R61" i="1"/>
  <c r="F28" i="6"/>
  <c r="R45" i="1"/>
  <c r="F19" i="6"/>
  <c r="R46" i="1"/>
  <c r="F20" i="6"/>
  <c r="R48" i="1"/>
  <c r="F21" i="6"/>
  <c r="F30" i="6"/>
  <c r="R83" i="1"/>
  <c r="F31" i="6"/>
  <c r="F32" i="6"/>
  <c r="R84" i="1"/>
  <c r="R85" i="1"/>
  <c r="F7" i="6"/>
  <c r="F8" i="6"/>
  <c r="R76" i="29"/>
  <c r="R78" i="29"/>
  <c r="R80" i="29"/>
  <c r="R83" i="29"/>
  <c r="R36" i="1"/>
  <c r="R80" i="1"/>
  <c r="F10" i="6"/>
  <c r="R67" i="29"/>
  <c r="R69" i="29"/>
  <c r="R71" i="29"/>
  <c r="R74" i="29"/>
  <c r="R34" i="1"/>
  <c r="R81" i="1"/>
  <c r="F11" i="6"/>
  <c r="F12" i="6"/>
  <c r="F14" i="6"/>
  <c r="F34" i="6"/>
  <c r="S79" i="1"/>
  <c r="S43" i="1"/>
  <c r="G18" i="6"/>
  <c r="S50" i="1"/>
  <c r="G22" i="6"/>
  <c r="S52" i="1"/>
  <c r="G23" i="6"/>
  <c r="S54" i="1"/>
  <c r="G24" i="6"/>
  <c r="S56" i="1"/>
  <c r="G25" i="6"/>
  <c r="G26" i="6"/>
  <c r="S59" i="1"/>
  <c r="G27" i="6"/>
  <c r="S61" i="1"/>
  <c r="G28" i="6"/>
  <c r="S45" i="1"/>
  <c r="G19" i="6"/>
  <c r="S46" i="1"/>
  <c r="G20" i="6"/>
  <c r="S48" i="1"/>
  <c r="G21" i="6"/>
  <c r="G30" i="6"/>
  <c r="S83" i="1"/>
  <c r="G31" i="6"/>
  <c r="G32" i="6"/>
  <c r="S84" i="1"/>
  <c r="S85" i="1"/>
  <c r="G7" i="6"/>
  <c r="G8" i="6"/>
  <c r="S76" i="29"/>
  <c r="S78" i="29"/>
  <c r="S80" i="29"/>
  <c r="S83" i="29"/>
  <c r="S36" i="1"/>
  <c r="S80" i="1"/>
  <c r="G10" i="6"/>
  <c r="S67" i="29"/>
  <c r="S69" i="29"/>
  <c r="S71" i="29"/>
  <c r="S74" i="29"/>
  <c r="S34" i="1"/>
  <c r="S81" i="1"/>
  <c r="G11" i="6"/>
  <c r="G12" i="6"/>
  <c r="G14" i="6"/>
  <c r="G34" i="6"/>
  <c r="T79" i="1"/>
  <c r="T43" i="1"/>
  <c r="H18" i="6"/>
  <c r="T50" i="1"/>
  <c r="H22" i="6"/>
  <c r="T52" i="1"/>
  <c r="H23" i="6"/>
  <c r="T54" i="1"/>
  <c r="H24" i="6"/>
  <c r="T56" i="1"/>
  <c r="H25" i="6"/>
  <c r="H26" i="6"/>
  <c r="T59" i="1"/>
  <c r="H27" i="6"/>
  <c r="T61" i="1"/>
  <c r="H28" i="6"/>
  <c r="T45" i="1"/>
  <c r="H19" i="6"/>
  <c r="T46" i="1"/>
  <c r="H20" i="6"/>
  <c r="T48" i="1"/>
  <c r="H21" i="6"/>
  <c r="H30" i="6"/>
  <c r="T83" i="1"/>
  <c r="H31" i="6"/>
  <c r="H32" i="6"/>
  <c r="T84" i="1"/>
  <c r="T85" i="1"/>
  <c r="H7" i="6"/>
  <c r="H8" i="6"/>
  <c r="T76" i="29"/>
  <c r="T78" i="29"/>
  <c r="T80" i="29"/>
  <c r="T83" i="29"/>
  <c r="T36" i="1"/>
  <c r="T80" i="1"/>
  <c r="H10" i="6"/>
  <c r="T67" i="29"/>
  <c r="T69" i="29"/>
  <c r="T71" i="29"/>
  <c r="T74" i="29"/>
  <c r="T34" i="1"/>
  <c r="T81" i="1"/>
  <c r="H11" i="6"/>
  <c r="H12" i="6"/>
  <c r="H14" i="6"/>
  <c r="H34" i="6"/>
  <c r="U79" i="1"/>
  <c r="U43" i="1"/>
  <c r="I18" i="6"/>
  <c r="U50" i="1"/>
  <c r="I22" i="6"/>
  <c r="U52" i="1"/>
  <c r="I23" i="6"/>
  <c r="U54" i="1"/>
  <c r="I24" i="6"/>
  <c r="U56" i="1"/>
  <c r="I25" i="6"/>
  <c r="I26" i="6"/>
  <c r="U59" i="1"/>
  <c r="I27" i="6"/>
  <c r="U61" i="1"/>
  <c r="I28" i="6"/>
  <c r="U45" i="1"/>
  <c r="I19" i="6"/>
  <c r="U46" i="1"/>
  <c r="I20" i="6"/>
  <c r="U48" i="1"/>
  <c r="I21" i="6"/>
  <c r="I30" i="6"/>
  <c r="U83" i="1"/>
  <c r="I31" i="6"/>
  <c r="I32" i="6"/>
  <c r="U84" i="1"/>
  <c r="U85" i="1"/>
  <c r="I7" i="6"/>
  <c r="I8" i="6"/>
  <c r="U76" i="29"/>
  <c r="U78" i="29"/>
  <c r="U80" i="29"/>
  <c r="U83" i="29"/>
  <c r="U36" i="1"/>
  <c r="U80" i="1"/>
  <c r="I10" i="6"/>
  <c r="U67" i="29"/>
  <c r="U69" i="29"/>
  <c r="U71" i="29"/>
  <c r="U74" i="29"/>
  <c r="U34" i="1"/>
  <c r="U81" i="1"/>
  <c r="I11" i="6"/>
  <c r="I12" i="6"/>
  <c r="I14" i="6"/>
  <c r="I34" i="6"/>
  <c r="V79" i="1"/>
  <c r="V43" i="1"/>
  <c r="J18" i="6"/>
  <c r="V50" i="1"/>
  <c r="J22" i="6"/>
  <c r="V52" i="1"/>
  <c r="J23" i="6"/>
  <c r="V54" i="1"/>
  <c r="J24" i="6"/>
  <c r="V56" i="1"/>
  <c r="J25" i="6"/>
  <c r="J26" i="6"/>
  <c r="V59" i="1"/>
  <c r="J27" i="6"/>
  <c r="V61" i="1"/>
  <c r="J28" i="6"/>
  <c r="V45" i="1"/>
  <c r="J19" i="6"/>
  <c r="V46" i="1"/>
  <c r="J20" i="6"/>
  <c r="V48" i="1"/>
  <c r="J21" i="6"/>
  <c r="J30" i="6"/>
  <c r="V83" i="1"/>
  <c r="J31" i="6"/>
  <c r="J32" i="6"/>
  <c r="V84" i="1"/>
  <c r="V85" i="1"/>
  <c r="J7" i="6"/>
  <c r="J8" i="6"/>
  <c r="V76" i="29"/>
  <c r="V78" i="29"/>
  <c r="V80" i="29"/>
  <c r="V83" i="29"/>
  <c r="V36" i="1"/>
  <c r="V80" i="1"/>
  <c r="J10" i="6"/>
  <c r="V67" i="29"/>
  <c r="V69" i="29"/>
  <c r="V71" i="29"/>
  <c r="V74" i="29"/>
  <c r="V34" i="1"/>
  <c r="V81" i="1"/>
  <c r="J11" i="6"/>
  <c r="J12" i="6"/>
  <c r="J14" i="6"/>
  <c r="J34" i="6"/>
  <c r="W79" i="1"/>
  <c r="W43" i="1"/>
  <c r="K18" i="6"/>
  <c r="W50" i="1"/>
  <c r="K22" i="6"/>
  <c r="W52" i="1"/>
  <c r="K23" i="6"/>
  <c r="W54" i="1"/>
  <c r="K24" i="6"/>
  <c r="W56" i="1"/>
  <c r="K25" i="6"/>
  <c r="K26" i="6"/>
  <c r="W59" i="1"/>
  <c r="K27" i="6"/>
  <c r="W61" i="1"/>
  <c r="K28" i="6"/>
  <c r="W45" i="1"/>
  <c r="K19" i="6"/>
  <c r="W46" i="1"/>
  <c r="K20" i="6"/>
  <c r="W48" i="1"/>
  <c r="K21" i="6"/>
  <c r="K30" i="6"/>
  <c r="W83" i="1"/>
  <c r="K31" i="6"/>
  <c r="K32" i="6"/>
  <c r="W84" i="1"/>
  <c r="W85" i="1"/>
  <c r="K7" i="6"/>
  <c r="K8" i="6"/>
  <c r="W76" i="29"/>
  <c r="W78" i="29"/>
  <c r="W80" i="29"/>
  <c r="W83" i="29"/>
  <c r="W36" i="1"/>
  <c r="W80" i="1"/>
  <c r="K10" i="6"/>
  <c r="W67" i="29"/>
  <c r="W69" i="29"/>
  <c r="W71" i="29"/>
  <c r="W74" i="29"/>
  <c r="W34" i="1"/>
  <c r="W81" i="1"/>
  <c r="K11" i="6"/>
  <c r="K12" i="6"/>
  <c r="K14" i="6"/>
  <c r="K34" i="6"/>
  <c r="X79" i="1"/>
  <c r="X43" i="1"/>
  <c r="L18" i="6"/>
  <c r="X50" i="1"/>
  <c r="L22" i="6"/>
  <c r="X52" i="1"/>
  <c r="L23" i="6"/>
  <c r="X54" i="1"/>
  <c r="L24" i="6"/>
  <c r="X56" i="1"/>
  <c r="L25" i="6"/>
  <c r="L26" i="6"/>
  <c r="X59" i="1"/>
  <c r="L27" i="6"/>
  <c r="X61" i="1"/>
  <c r="L28" i="6"/>
  <c r="X45" i="1"/>
  <c r="L19" i="6"/>
  <c r="X46" i="1"/>
  <c r="L20" i="6"/>
  <c r="X48" i="1"/>
  <c r="L21" i="6"/>
  <c r="L30" i="6"/>
  <c r="X83" i="1"/>
  <c r="L31" i="6"/>
  <c r="L32" i="6"/>
  <c r="X84" i="1"/>
  <c r="X85" i="1"/>
  <c r="L7" i="6"/>
  <c r="L8" i="6"/>
  <c r="X76" i="29"/>
  <c r="X78" i="29"/>
  <c r="X80" i="29"/>
  <c r="X83" i="29"/>
  <c r="X36" i="1"/>
  <c r="X80" i="1"/>
  <c r="L10" i="6"/>
  <c r="X67" i="29"/>
  <c r="X69" i="29"/>
  <c r="X71" i="29"/>
  <c r="X74" i="29"/>
  <c r="X34" i="1"/>
  <c r="X81" i="1"/>
  <c r="L11" i="6"/>
  <c r="L12" i="6"/>
  <c r="L14" i="6"/>
  <c r="L34" i="6"/>
  <c r="Y79" i="1"/>
  <c r="Y43" i="1"/>
  <c r="M18" i="6"/>
  <c r="Y50" i="1"/>
  <c r="M22" i="6"/>
  <c r="Y52" i="1"/>
  <c r="M23" i="6"/>
  <c r="Y54" i="1"/>
  <c r="M24" i="6"/>
  <c r="Y56" i="1"/>
  <c r="M25" i="6"/>
  <c r="M26" i="6"/>
  <c r="Y59" i="1"/>
  <c r="M27" i="6"/>
  <c r="Y61" i="1"/>
  <c r="M28" i="6"/>
  <c r="Y45" i="1"/>
  <c r="M19" i="6"/>
  <c r="Y46" i="1"/>
  <c r="M20" i="6"/>
  <c r="Y48" i="1"/>
  <c r="M21" i="6"/>
  <c r="M30" i="6"/>
  <c r="Y83" i="1"/>
  <c r="M31" i="6"/>
  <c r="M32" i="6"/>
  <c r="Y84" i="1"/>
  <c r="Y85" i="1"/>
  <c r="M7" i="6"/>
  <c r="M8" i="6"/>
  <c r="Y76" i="29"/>
  <c r="Y78" i="29"/>
  <c r="Y80" i="29"/>
  <c r="Y83" i="29"/>
  <c r="Y36" i="1"/>
  <c r="Y80" i="1"/>
  <c r="M10" i="6"/>
  <c r="Y67" i="29"/>
  <c r="Y69" i="29"/>
  <c r="Y71" i="29"/>
  <c r="Y74" i="29"/>
  <c r="Y34" i="1"/>
  <c r="Y81" i="1"/>
  <c r="M11" i="6"/>
  <c r="M12" i="6"/>
  <c r="M14" i="6"/>
  <c r="M34" i="6"/>
  <c r="N34" i="6"/>
  <c r="C29" i="15"/>
  <c r="Z79" i="1"/>
  <c r="Z43" i="1"/>
  <c r="B18" i="7"/>
  <c r="Z50" i="1"/>
  <c r="B22" i="7"/>
  <c r="Z52" i="1"/>
  <c r="B23" i="7"/>
  <c r="Z54" i="1"/>
  <c r="B24" i="7"/>
  <c r="Z56" i="1"/>
  <c r="B25" i="7"/>
  <c r="B26" i="7"/>
  <c r="Z59" i="1"/>
  <c r="B27" i="7"/>
  <c r="Z61" i="1"/>
  <c r="B28" i="7"/>
  <c r="Z45" i="1"/>
  <c r="B19" i="7"/>
  <c r="Z46" i="1"/>
  <c r="B20" i="7"/>
  <c r="Z48" i="1"/>
  <c r="B21" i="7"/>
  <c r="B30" i="7"/>
  <c r="Z83" i="1"/>
  <c r="B31" i="7"/>
  <c r="B32" i="7"/>
  <c r="Z84" i="1"/>
  <c r="Z85" i="1"/>
  <c r="B7" i="7"/>
  <c r="B8" i="7"/>
  <c r="Z76" i="29"/>
  <c r="Z78" i="29"/>
  <c r="Z80" i="29"/>
  <c r="Z83" i="29"/>
  <c r="Z36" i="1"/>
  <c r="Z80" i="1"/>
  <c r="B10" i="7"/>
  <c r="Z67" i="29"/>
  <c r="Z69" i="29"/>
  <c r="Z71" i="29"/>
  <c r="Z74" i="29"/>
  <c r="Z34" i="1"/>
  <c r="Z81" i="1"/>
  <c r="B11" i="7"/>
  <c r="B12" i="7"/>
  <c r="B14" i="7"/>
  <c r="B34" i="7"/>
  <c r="AA79" i="1"/>
  <c r="AA43" i="1"/>
  <c r="C18" i="7"/>
  <c r="AA50" i="1"/>
  <c r="C22" i="7"/>
  <c r="AA52" i="1"/>
  <c r="C23" i="7"/>
  <c r="AA54" i="1"/>
  <c r="C24" i="7"/>
  <c r="AA56" i="1"/>
  <c r="C25" i="7"/>
  <c r="C26" i="7"/>
  <c r="AA59" i="1"/>
  <c r="C27" i="7"/>
  <c r="AA61" i="1"/>
  <c r="C28" i="7"/>
  <c r="AA45" i="1"/>
  <c r="C19" i="7"/>
  <c r="AA46" i="1"/>
  <c r="C20" i="7"/>
  <c r="AA48" i="1"/>
  <c r="C21" i="7"/>
  <c r="C30" i="7"/>
  <c r="AA83" i="1"/>
  <c r="C31" i="7"/>
  <c r="C32" i="7"/>
  <c r="AA84" i="1"/>
  <c r="AA85" i="1"/>
  <c r="C7" i="7"/>
  <c r="C8" i="7"/>
  <c r="AA76" i="29"/>
  <c r="AA78" i="29"/>
  <c r="AA80" i="29"/>
  <c r="AA83" i="29"/>
  <c r="AA36" i="1"/>
  <c r="AA80" i="1"/>
  <c r="C10" i="7"/>
  <c r="AA67" i="29"/>
  <c r="AA69" i="29"/>
  <c r="AA71" i="29"/>
  <c r="AA74" i="29"/>
  <c r="AA34" i="1"/>
  <c r="AA81" i="1"/>
  <c r="C11" i="7"/>
  <c r="C12" i="7"/>
  <c r="C14" i="7"/>
  <c r="C34" i="7"/>
  <c r="AB79" i="1"/>
  <c r="AB43" i="1"/>
  <c r="D18" i="7"/>
  <c r="AB50" i="1"/>
  <c r="D22" i="7"/>
  <c r="AB52" i="1"/>
  <c r="D23" i="7"/>
  <c r="AB54" i="1"/>
  <c r="D24" i="7"/>
  <c r="AB56" i="1"/>
  <c r="D25" i="7"/>
  <c r="D26" i="7"/>
  <c r="AB59" i="1"/>
  <c r="D27" i="7"/>
  <c r="AB61" i="1"/>
  <c r="D28" i="7"/>
  <c r="AB45" i="1"/>
  <c r="D19" i="7"/>
  <c r="AB46" i="1"/>
  <c r="D20" i="7"/>
  <c r="AB48" i="1"/>
  <c r="D21" i="7"/>
  <c r="D30" i="7"/>
  <c r="AB83" i="1"/>
  <c r="D31" i="7"/>
  <c r="D32" i="7"/>
  <c r="AB84" i="1"/>
  <c r="AB85" i="1"/>
  <c r="D7" i="7"/>
  <c r="D8" i="7"/>
  <c r="AB76" i="29"/>
  <c r="AB78" i="29"/>
  <c r="AB80" i="29"/>
  <c r="AB83" i="29"/>
  <c r="AB36" i="1"/>
  <c r="AB80" i="1"/>
  <c r="D10" i="7"/>
  <c r="AB67" i="29"/>
  <c r="AB69" i="29"/>
  <c r="AB71" i="29"/>
  <c r="AB74" i="29"/>
  <c r="AB34" i="1"/>
  <c r="AB81" i="1"/>
  <c r="D11" i="7"/>
  <c r="D12" i="7"/>
  <c r="D14" i="7"/>
  <c r="D34" i="7"/>
  <c r="AC79" i="1"/>
  <c r="AC43" i="1"/>
  <c r="E18" i="7"/>
  <c r="AC50" i="1"/>
  <c r="E22" i="7"/>
  <c r="AC52" i="1"/>
  <c r="E23" i="7"/>
  <c r="AC54" i="1"/>
  <c r="E24" i="7"/>
  <c r="AC56" i="1"/>
  <c r="E25" i="7"/>
  <c r="E26" i="7"/>
  <c r="AC59" i="1"/>
  <c r="E27" i="7"/>
  <c r="AC61" i="1"/>
  <c r="E28" i="7"/>
  <c r="AC45" i="1"/>
  <c r="E19" i="7"/>
  <c r="AC46" i="1"/>
  <c r="E20" i="7"/>
  <c r="AC48" i="1"/>
  <c r="E21" i="7"/>
  <c r="E30" i="7"/>
  <c r="AC83" i="1"/>
  <c r="E31" i="7"/>
  <c r="E32" i="7"/>
  <c r="AC84" i="1"/>
  <c r="AC85" i="1"/>
  <c r="E7" i="7"/>
  <c r="E8" i="7"/>
  <c r="AC76" i="29"/>
  <c r="AC78" i="29"/>
  <c r="AC80" i="29"/>
  <c r="AC83" i="29"/>
  <c r="AC36" i="1"/>
  <c r="AC80" i="1"/>
  <c r="E10" i="7"/>
  <c r="AC67" i="29"/>
  <c r="AC69" i="29"/>
  <c r="AC71" i="29"/>
  <c r="AC74" i="29"/>
  <c r="AC34" i="1"/>
  <c r="AC81" i="1"/>
  <c r="E11" i="7"/>
  <c r="E12" i="7"/>
  <c r="E14" i="7"/>
  <c r="E34" i="7"/>
  <c r="AD79" i="1"/>
  <c r="AD43" i="1"/>
  <c r="F18" i="7"/>
  <c r="AD50" i="1"/>
  <c r="F22" i="7"/>
  <c r="AD52" i="1"/>
  <c r="F23" i="7"/>
  <c r="AD54" i="1"/>
  <c r="F24" i="7"/>
  <c r="AD56" i="1"/>
  <c r="F25" i="7"/>
  <c r="F26" i="7"/>
  <c r="AD59" i="1"/>
  <c r="F27" i="7"/>
  <c r="AD61" i="1"/>
  <c r="F28" i="7"/>
  <c r="AD45" i="1"/>
  <c r="F19" i="7"/>
  <c r="AD46" i="1"/>
  <c r="F20" i="7"/>
  <c r="AD48" i="1"/>
  <c r="F21" i="7"/>
  <c r="F30" i="7"/>
  <c r="AD83" i="1"/>
  <c r="F31" i="7"/>
  <c r="F32" i="7"/>
  <c r="AD84" i="1"/>
  <c r="AD85" i="1"/>
  <c r="F7" i="7"/>
  <c r="F8" i="7"/>
  <c r="AD76" i="29"/>
  <c r="AD78" i="29"/>
  <c r="AD80" i="29"/>
  <c r="AD83" i="29"/>
  <c r="AD36" i="1"/>
  <c r="AD80" i="1"/>
  <c r="F10" i="7"/>
  <c r="AD67" i="29"/>
  <c r="AD69" i="29"/>
  <c r="AD71" i="29"/>
  <c r="AD74" i="29"/>
  <c r="AD34" i="1"/>
  <c r="AD81" i="1"/>
  <c r="F11" i="7"/>
  <c r="F12" i="7"/>
  <c r="F14" i="7"/>
  <c r="F34" i="7"/>
  <c r="AE79" i="1"/>
  <c r="AE43" i="1"/>
  <c r="G18" i="7"/>
  <c r="AE50" i="1"/>
  <c r="G22" i="7"/>
  <c r="AE52" i="1"/>
  <c r="G23" i="7"/>
  <c r="AE54" i="1"/>
  <c r="G24" i="7"/>
  <c r="AE56" i="1"/>
  <c r="G25" i="7"/>
  <c r="G26" i="7"/>
  <c r="AE59" i="1"/>
  <c r="G27" i="7"/>
  <c r="AE61" i="1"/>
  <c r="G28" i="7"/>
  <c r="AE45" i="1"/>
  <c r="G19" i="7"/>
  <c r="AE46" i="1"/>
  <c r="G20" i="7"/>
  <c r="AE48" i="1"/>
  <c r="G21" i="7"/>
  <c r="G30" i="7"/>
  <c r="AE83" i="1"/>
  <c r="G31" i="7"/>
  <c r="G32" i="7"/>
  <c r="AE84" i="1"/>
  <c r="AE85" i="1"/>
  <c r="G7" i="7"/>
  <c r="G8" i="7"/>
  <c r="AE76" i="29"/>
  <c r="AE78" i="29"/>
  <c r="AE80" i="29"/>
  <c r="AE83" i="29"/>
  <c r="AE36" i="1"/>
  <c r="AE80" i="1"/>
  <c r="G10" i="7"/>
  <c r="AE67" i="29"/>
  <c r="AE69" i="29"/>
  <c r="AE71" i="29"/>
  <c r="AE74" i="29"/>
  <c r="AE34" i="1"/>
  <c r="AE81" i="1"/>
  <c r="G11" i="7"/>
  <c r="G12" i="7"/>
  <c r="G14" i="7"/>
  <c r="G34" i="7"/>
  <c r="AF79" i="1"/>
  <c r="AF43" i="1"/>
  <c r="H18" i="7"/>
  <c r="AF50" i="1"/>
  <c r="H22" i="7"/>
  <c r="AF52" i="1"/>
  <c r="H23" i="7"/>
  <c r="AF54" i="1"/>
  <c r="H24" i="7"/>
  <c r="AF56" i="1"/>
  <c r="H25" i="7"/>
  <c r="H26" i="7"/>
  <c r="AF59" i="1"/>
  <c r="H27" i="7"/>
  <c r="AF61" i="1"/>
  <c r="H28" i="7"/>
  <c r="AF45" i="1"/>
  <c r="H19" i="7"/>
  <c r="AF46" i="1"/>
  <c r="H20" i="7"/>
  <c r="AF48" i="1"/>
  <c r="H21" i="7"/>
  <c r="H30" i="7"/>
  <c r="AF83" i="1"/>
  <c r="H31" i="7"/>
  <c r="H32" i="7"/>
  <c r="AF84" i="1"/>
  <c r="AF85" i="1"/>
  <c r="H7" i="7"/>
  <c r="H8" i="7"/>
  <c r="AF76" i="29"/>
  <c r="AF78" i="29"/>
  <c r="AF80" i="29"/>
  <c r="AF83" i="29"/>
  <c r="AF36" i="1"/>
  <c r="AF80" i="1"/>
  <c r="H10" i="7"/>
  <c r="AF67" i="29"/>
  <c r="AF69" i="29"/>
  <c r="AF71" i="29"/>
  <c r="AF74" i="29"/>
  <c r="AF34" i="1"/>
  <c r="AF81" i="1"/>
  <c r="H11" i="7"/>
  <c r="H12" i="7"/>
  <c r="H14" i="7"/>
  <c r="H34" i="7"/>
  <c r="AG79" i="1"/>
  <c r="AG43" i="1"/>
  <c r="I18" i="7"/>
  <c r="AG50" i="1"/>
  <c r="I22" i="7"/>
  <c r="AG52" i="1"/>
  <c r="I23" i="7"/>
  <c r="AG54" i="1"/>
  <c r="I24" i="7"/>
  <c r="AG56" i="1"/>
  <c r="I25" i="7"/>
  <c r="I26" i="7"/>
  <c r="AG59" i="1"/>
  <c r="I27" i="7"/>
  <c r="AG61" i="1"/>
  <c r="I28" i="7"/>
  <c r="AG45" i="1"/>
  <c r="I19" i="7"/>
  <c r="AG46" i="1"/>
  <c r="I20" i="7"/>
  <c r="AG48" i="1"/>
  <c r="I21" i="7"/>
  <c r="I30" i="7"/>
  <c r="AG83" i="1"/>
  <c r="I31" i="7"/>
  <c r="I32" i="7"/>
  <c r="AG84" i="1"/>
  <c r="AG85" i="1"/>
  <c r="I7" i="7"/>
  <c r="I8" i="7"/>
  <c r="AG76" i="29"/>
  <c r="AG78" i="29"/>
  <c r="AG80" i="29"/>
  <c r="AG83" i="29"/>
  <c r="AG36" i="1"/>
  <c r="AG80" i="1"/>
  <c r="I10" i="7"/>
  <c r="AG67" i="29"/>
  <c r="AG69" i="29"/>
  <c r="AG71" i="29"/>
  <c r="AG74" i="29"/>
  <c r="AG34" i="1"/>
  <c r="AG81" i="1"/>
  <c r="I11" i="7"/>
  <c r="I12" i="7"/>
  <c r="I14" i="7"/>
  <c r="I34" i="7"/>
  <c r="AH79" i="1"/>
  <c r="AH43" i="1"/>
  <c r="J18" i="7"/>
  <c r="AH50" i="1"/>
  <c r="J22" i="7"/>
  <c r="AH52" i="1"/>
  <c r="J23" i="7"/>
  <c r="AH54" i="1"/>
  <c r="J24" i="7"/>
  <c r="AH56" i="1"/>
  <c r="J25" i="7"/>
  <c r="J26" i="7"/>
  <c r="AH59" i="1"/>
  <c r="J27" i="7"/>
  <c r="AH61" i="1"/>
  <c r="J28" i="7"/>
  <c r="AH45" i="1"/>
  <c r="J19" i="7"/>
  <c r="AH46" i="1"/>
  <c r="J20" i="7"/>
  <c r="AH48" i="1"/>
  <c r="J21" i="7"/>
  <c r="J30" i="7"/>
  <c r="AH83" i="1"/>
  <c r="J31" i="7"/>
  <c r="J32" i="7"/>
  <c r="AH84" i="1"/>
  <c r="AH85" i="1"/>
  <c r="J7" i="7"/>
  <c r="J8" i="7"/>
  <c r="AH76" i="29"/>
  <c r="AH78" i="29"/>
  <c r="AH80" i="29"/>
  <c r="AH83" i="29"/>
  <c r="AH36" i="1"/>
  <c r="AH80" i="1"/>
  <c r="J10" i="7"/>
  <c r="AH67" i="29"/>
  <c r="AH69" i="29"/>
  <c r="AH71" i="29"/>
  <c r="AH74" i="29"/>
  <c r="AH34" i="1"/>
  <c r="AH81" i="1"/>
  <c r="J11" i="7"/>
  <c r="J12" i="7"/>
  <c r="J14" i="7"/>
  <c r="J34" i="7"/>
  <c r="AI79" i="1"/>
  <c r="AI43" i="1"/>
  <c r="K18" i="7"/>
  <c r="AI50" i="1"/>
  <c r="K22" i="7"/>
  <c r="AI52" i="1"/>
  <c r="K23" i="7"/>
  <c r="AI54" i="1"/>
  <c r="K24" i="7"/>
  <c r="AI56" i="1"/>
  <c r="K25" i="7"/>
  <c r="K26" i="7"/>
  <c r="AI59" i="1"/>
  <c r="K27" i="7"/>
  <c r="AI61" i="1"/>
  <c r="K28" i="7"/>
  <c r="AI45" i="1"/>
  <c r="K19" i="7"/>
  <c r="AI46" i="1"/>
  <c r="K20" i="7"/>
  <c r="AI48" i="1"/>
  <c r="K21" i="7"/>
  <c r="K30" i="7"/>
  <c r="AI83" i="1"/>
  <c r="K31" i="7"/>
  <c r="K32" i="7"/>
  <c r="AI84" i="1"/>
  <c r="AI85" i="1"/>
  <c r="K7" i="7"/>
  <c r="K8" i="7"/>
  <c r="AI76" i="29"/>
  <c r="AI78" i="29"/>
  <c r="AI80" i="29"/>
  <c r="AI83" i="29"/>
  <c r="AI36" i="1"/>
  <c r="AI80" i="1"/>
  <c r="K10" i="7"/>
  <c r="AI67" i="29"/>
  <c r="AI69" i="29"/>
  <c r="AI71" i="29"/>
  <c r="AI74" i="29"/>
  <c r="AI34" i="1"/>
  <c r="AI81" i="1"/>
  <c r="K11" i="7"/>
  <c r="K12" i="7"/>
  <c r="K14" i="7"/>
  <c r="K34" i="7"/>
  <c r="AJ79" i="1"/>
  <c r="AJ43" i="1"/>
  <c r="L18" i="7"/>
  <c r="AJ50" i="1"/>
  <c r="L22" i="7"/>
  <c r="AJ52" i="1"/>
  <c r="L23" i="7"/>
  <c r="AJ54" i="1"/>
  <c r="L24" i="7"/>
  <c r="AJ56" i="1"/>
  <c r="L25" i="7"/>
  <c r="L26" i="7"/>
  <c r="AJ59" i="1"/>
  <c r="L27" i="7"/>
  <c r="AJ61" i="1"/>
  <c r="L28" i="7"/>
  <c r="AJ45" i="1"/>
  <c r="L19" i="7"/>
  <c r="AJ46" i="1"/>
  <c r="L20" i="7"/>
  <c r="AJ48" i="1"/>
  <c r="L21" i="7"/>
  <c r="L30" i="7"/>
  <c r="AJ83" i="1"/>
  <c r="L31" i="7"/>
  <c r="L32" i="7"/>
  <c r="AJ84" i="1"/>
  <c r="AJ85" i="1"/>
  <c r="L7" i="7"/>
  <c r="L8" i="7"/>
  <c r="AJ76" i="29"/>
  <c r="AJ78" i="29"/>
  <c r="AJ80" i="29"/>
  <c r="AJ83" i="29"/>
  <c r="AJ36" i="1"/>
  <c r="AJ80" i="1"/>
  <c r="L10" i="7"/>
  <c r="AJ67" i="29"/>
  <c r="AJ69" i="29"/>
  <c r="AJ71" i="29"/>
  <c r="AJ74" i="29"/>
  <c r="AJ34" i="1"/>
  <c r="AJ81" i="1"/>
  <c r="L11" i="7"/>
  <c r="L12" i="7"/>
  <c r="L14" i="7"/>
  <c r="L34" i="7"/>
  <c r="AK79" i="1"/>
  <c r="AK43" i="1"/>
  <c r="M18" i="7"/>
  <c r="AK50" i="1"/>
  <c r="M22" i="7"/>
  <c r="AK52" i="1"/>
  <c r="M23" i="7"/>
  <c r="AK54" i="1"/>
  <c r="M24" i="7"/>
  <c r="AK56" i="1"/>
  <c r="M25" i="7"/>
  <c r="M26" i="7"/>
  <c r="AK59" i="1"/>
  <c r="M27" i="7"/>
  <c r="AK61" i="1"/>
  <c r="M28" i="7"/>
  <c r="AK45" i="1"/>
  <c r="M19" i="7"/>
  <c r="AK46" i="1"/>
  <c r="M20" i="7"/>
  <c r="AK48" i="1"/>
  <c r="M21" i="7"/>
  <c r="M30" i="7"/>
  <c r="AK83" i="1"/>
  <c r="M31" i="7"/>
  <c r="M32" i="7"/>
  <c r="AK84" i="1"/>
  <c r="AK85" i="1"/>
  <c r="M7" i="7"/>
  <c r="M8" i="7"/>
  <c r="AK76" i="29"/>
  <c r="AK78" i="29"/>
  <c r="AK80" i="29"/>
  <c r="AK83" i="29"/>
  <c r="AK36" i="1"/>
  <c r="AK80" i="1"/>
  <c r="M10" i="7"/>
  <c r="AK67" i="29"/>
  <c r="AK69" i="29"/>
  <c r="AK71" i="29"/>
  <c r="AK74" i="29"/>
  <c r="AK34" i="1"/>
  <c r="AK81" i="1"/>
  <c r="M11" i="7"/>
  <c r="M12" i="7"/>
  <c r="M14" i="7"/>
  <c r="M34" i="7"/>
  <c r="N34" i="7"/>
  <c r="D29" i="15"/>
  <c r="AL79" i="1"/>
  <c r="AL43" i="1"/>
  <c r="B18" i="21"/>
  <c r="AL50" i="1"/>
  <c r="B22" i="21"/>
  <c r="AL52" i="1"/>
  <c r="B23" i="21"/>
  <c r="AL54" i="1"/>
  <c r="B24" i="21"/>
  <c r="AL56" i="1"/>
  <c r="B25" i="21"/>
  <c r="B26" i="21"/>
  <c r="AL59" i="1"/>
  <c r="B27" i="21"/>
  <c r="AL61" i="1"/>
  <c r="B28" i="21"/>
  <c r="AL45" i="1"/>
  <c r="B19" i="21"/>
  <c r="AL46" i="1"/>
  <c r="B20" i="21"/>
  <c r="AL48" i="1"/>
  <c r="B21" i="21"/>
  <c r="B30" i="21"/>
  <c r="AL83" i="1"/>
  <c r="B31" i="21"/>
  <c r="B32" i="21"/>
  <c r="AL84" i="1"/>
  <c r="AL85" i="1"/>
  <c r="B7" i="21"/>
  <c r="B8" i="21"/>
  <c r="AL76" i="29"/>
  <c r="AL78" i="29"/>
  <c r="AL80" i="29"/>
  <c r="AL83" i="29"/>
  <c r="AL36" i="1"/>
  <c r="AL80" i="1"/>
  <c r="B10" i="21"/>
  <c r="AL67" i="29"/>
  <c r="AL69" i="29"/>
  <c r="AL71" i="29"/>
  <c r="AL74" i="29"/>
  <c r="AL34" i="1"/>
  <c r="AL81" i="1"/>
  <c r="B11" i="21"/>
  <c r="B12" i="21"/>
  <c r="B14" i="21"/>
  <c r="B34" i="21"/>
  <c r="AM79" i="1"/>
  <c r="AM43" i="1"/>
  <c r="C18" i="21"/>
  <c r="AM50" i="1"/>
  <c r="C22" i="21"/>
  <c r="AM52" i="1"/>
  <c r="C23" i="21"/>
  <c r="AM54" i="1"/>
  <c r="C24" i="21"/>
  <c r="AM56" i="1"/>
  <c r="C25" i="21"/>
  <c r="C26" i="21"/>
  <c r="AM59" i="1"/>
  <c r="C27" i="21"/>
  <c r="AM61" i="1"/>
  <c r="C28" i="21"/>
  <c r="AM45" i="1"/>
  <c r="C19" i="21"/>
  <c r="AM46" i="1"/>
  <c r="C20" i="21"/>
  <c r="AM48" i="1"/>
  <c r="C21" i="21"/>
  <c r="C30" i="21"/>
  <c r="AM83" i="1"/>
  <c r="C31" i="21"/>
  <c r="C32" i="21"/>
  <c r="AM84" i="1"/>
  <c r="AM85" i="1"/>
  <c r="C7" i="21"/>
  <c r="C8" i="21"/>
  <c r="AM76" i="29"/>
  <c r="AM78" i="29"/>
  <c r="AM80" i="29"/>
  <c r="AM83" i="29"/>
  <c r="AM36" i="1"/>
  <c r="AM80" i="1"/>
  <c r="C10" i="21"/>
  <c r="AM67" i="29"/>
  <c r="AM69" i="29"/>
  <c r="AM71" i="29"/>
  <c r="AM74" i="29"/>
  <c r="AM34" i="1"/>
  <c r="AM81" i="1"/>
  <c r="C11" i="21"/>
  <c r="C12" i="21"/>
  <c r="C14" i="21"/>
  <c r="C34" i="21"/>
  <c r="AN79" i="1"/>
  <c r="AN43" i="1"/>
  <c r="D18" i="21"/>
  <c r="AN50" i="1"/>
  <c r="D22" i="21"/>
  <c r="AN52" i="1"/>
  <c r="D23" i="21"/>
  <c r="AN54" i="1"/>
  <c r="D24" i="21"/>
  <c r="AN56" i="1"/>
  <c r="D25" i="21"/>
  <c r="D26" i="21"/>
  <c r="AN59" i="1"/>
  <c r="D27" i="21"/>
  <c r="AN61" i="1"/>
  <c r="D28" i="21"/>
  <c r="AN45" i="1"/>
  <c r="D19" i="21"/>
  <c r="AN46" i="1"/>
  <c r="D20" i="21"/>
  <c r="AN48" i="1"/>
  <c r="D21" i="21"/>
  <c r="D30" i="21"/>
  <c r="AN83" i="1"/>
  <c r="D31" i="21"/>
  <c r="D32" i="21"/>
  <c r="AN84" i="1"/>
  <c r="AN85" i="1"/>
  <c r="D7" i="21"/>
  <c r="D8" i="21"/>
  <c r="AN76" i="29"/>
  <c r="AN78" i="29"/>
  <c r="AN80" i="29"/>
  <c r="AN83" i="29"/>
  <c r="AN36" i="1"/>
  <c r="AN80" i="1"/>
  <c r="D10" i="21"/>
  <c r="AN67" i="29"/>
  <c r="AN69" i="29"/>
  <c r="AN71" i="29"/>
  <c r="AN74" i="29"/>
  <c r="AN34" i="1"/>
  <c r="AN81" i="1"/>
  <c r="D11" i="21"/>
  <c r="D12" i="21"/>
  <c r="D14" i="21"/>
  <c r="D34" i="21"/>
  <c r="AO79" i="1"/>
  <c r="AO43" i="1"/>
  <c r="E18" i="21"/>
  <c r="AO50" i="1"/>
  <c r="E22" i="21"/>
  <c r="AO52" i="1"/>
  <c r="E23" i="21"/>
  <c r="AO54" i="1"/>
  <c r="E24" i="21"/>
  <c r="AO56" i="1"/>
  <c r="E25" i="21"/>
  <c r="E26" i="21"/>
  <c r="AO59" i="1"/>
  <c r="E27" i="21"/>
  <c r="AO61" i="1"/>
  <c r="E28" i="21"/>
  <c r="AO45" i="1"/>
  <c r="E19" i="21"/>
  <c r="AO46" i="1"/>
  <c r="E20" i="21"/>
  <c r="AO48" i="1"/>
  <c r="E21" i="21"/>
  <c r="E30" i="21"/>
  <c r="AO83" i="1"/>
  <c r="E31" i="21"/>
  <c r="E32" i="21"/>
  <c r="AO84" i="1"/>
  <c r="AO85" i="1"/>
  <c r="E7" i="21"/>
  <c r="E8" i="21"/>
  <c r="AO76" i="29"/>
  <c r="AO78" i="29"/>
  <c r="AO80" i="29"/>
  <c r="AO83" i="29"/>
  <c r="AO36" i="1"/>
  <c r="AO80" i="1"/>
  <c r="E10" i="21"/>
  <c r="AO67" i="29"/>
  <c r="AO69" i="29"/>
  <c r="AO71" i="29"/>
  <c r="AO74" i="29"/>
  <c r="AO34" i="1"/>
  <c r="AO81" i="1"/>
  <c r="E11" i="21"/>
  <c r="E12" i="21"/>
  <c r="E14" i="21"/>
  <c r="E34" i="21"/>
  <c r="AP79" i="1"/>
  <c r="AP43" i="1"/>
  <c r="F18" i="21"/>
  <c r="AP50" i="1"/>
  <c r="F22" i="21"/>
  <c r="AP52" i="1"/>
  <c r="F23" i="21"/>
  <c r="AP54" i="1"/>
  <c r="F24" i="21"/>
  <c r="AP56" i="1"/>
  <c r="F25" i="21"/>
  <c r="F26" i="21"/>
  <c r="AP59" i="1"/>
  <c r="F27" i="21"/>
  <c r="AP61" i="1"/>
  <c r="F28" i="21"/>
  <c r="AP45" i="1"/>
  <c r="F19" i="21"/>
  <c r="AP46" i="1"/>
  <c r="F20" i="21"/>
  <c r="AP48" i="1"/>
  <c r="F21" i="21"/>
  <c r="F30" i="21"/>
  <c r="AP83" i="1"/>
  <c r="F31" i="21"/>
  <c r="F32" i="21"/>
  <c r="AP84" i="1"/>
  <c r="AP85" i="1"/>
  <c r="F7" i="21"/>
  <c r="F8" i="21"/>
  <c r="AP76" i="29"/>
  <c r="AP78" i="29"/>
  <c r="AP80" i="29"/>
  <c r="AP83" i="29"/>
  <c r="AP36" i="1"/>
  <c r="AP80" i="1"/>
  <c r="F10" i="21"/>
  <c r="AP67" i="29"/>
  <c r="AP69" i="29"/>
  <c r="AP71" i="29"/>
  <c r="AP74" i="29"/>
  <c r="AP34" i="1"/>
  <c r="AP81" i="1"/>
  <c r="F11" i="21"/>
  <c r="F12" i="21"/>
  <c r="F14" i="21"/>
  <c r="F34" i="21"/>
  <c r="AQ79" i="1"/>
  <c r="AQ43" i="1"/>
  <c r="G18" i="21"/>
  <c r="AQ50" i="1"/>
  <c r="G22" i="21"/>
  <c r="AQ52" i="1"/>
  <c r="G23" i="21"/>
  <c r="AQ54" i="1"/>
  <c r="G24" i="21"/>
  <c r="AQ56" i="1"/>
  <c r="G25" i="21"/>
  <c r="G26" i="21"/>
  <c r="AQ59" i="1"/>
  <c r="G27" i="21"/>
  <c r="AQ61" i="1"/>
  <c r="G28" i="21"/>
  <c r="AQ45" i="1"/>
  <c r="G19" i="21"/>
  <c r="AQ46" i="1"/>
  <c r="G20" i="21"/>
  <c r="AQ48" i="1"/>
  <c r="G21" i="21"/>
  <c r="G30" i="21"/>
  <c r="AQ83" i="1"/>
  <c r="G31" i="21"/>
  <c r="G32" i="21"/>
  <c r="AQ84" i="1"/>
  <c r="AQ85" i="1"/>
  <c r="G7" i="21"/>
  <c r="G8" i="21"/>
  <c r="AQ76" i="29"/>
  <c r="AQ78" i="29"/>
  <c r="AQ80" i="29"/>
  <c r="AQ83" i="29"/>
  <c r="AQ36" i="1"/>
  <c r="AQ80" i="1"/>
  <c r="G10" i="21"/>
  <c r="AQ67" i="29"/>
  <c r="AQ69" i="29"/>
  <c r="AQ71" i="29"/>
  <c r="AQ74" i="29"/>
  <c r="AQ34" i="1"/>
  <c r="AQ81" i="1"/>
  <c r="G11" i="21"/>
  <c r="G12" i="21"/>
  <c r="G14" i="21"/>
  <c r="G34" i="21"/>
  <c r="AR79" i="1"/>
  <c r="AR43" i="1"/>
  <c r="H18" i="21"/>
  <c r="AR50" i="1"/>
  <c r="H22" i="21"/>
  <c r="AR52" i="1"/>
  <c r="H23" i="21"/>
  <c r="AR54" i="1"/>
  <c r="H24" i="21"/>
  <c r="AR56" i="1"/>
  <c r="H25" i="21"/>
  <c r="H26" i="21"/>
  <c r="AR59" i="1"/>
  <c r="H27" i="21"/>
  <c r="AR61" i="1"/>
  <c r="H28" i="21"/>
  <c r="AR45" i="1"/>
  <c r="H19" i="21"/>
  <c r="AR46" i="1"/>
  <c r="H20" i="21"/>
  <c r="AR48" i="1"/>
  <c r="H21" i="21"/>
  <c r="H30" i="21"/>
  <c r="AR83" i="1"/>
  <c r="H31" i="21"/>
  <c r="H32" i="21"/>
  <c r="AR84" i="1"/>
  <c r="AR85" i="1"/>
  <c r="H7" i="21"/>
  <c r="H8" i="21"/>
  <c r="AR76" i="29"/>
  <c r="AR78" i="29"/>
  <c r="AR80" i="29"/>
  <c r="AR83" i="29"/>
  <c r="AR36" i="1"/>
  <c r="AR80" i="1"/>
  <c r="H10" i="21"/>
  <c r="AR67" i="29"/>
  <c r="AR69" i="29"/>
  <c r="AR71" i="29"/>
  <c r="AR74" i="29"/>
  <c r="AR34" i="1"/>
  <c r="AR81" i="1"/>
  <c r="H11" i="21"/>
  <c r="H12" i="21"/>
  <c r="H14" i="21"/>
  <c r="H34" i="21"/>
  <c r="AS79" i="1"/>
  <c r="AS43" i="1"/>
  <c r="I18" i="21"/>
  <c r="AS50" i="1"/>
  <c r="I22" i="21"/>
  <c r="AS52" i="1"/>
  <c r="I23" i="21"/>
  <c r="AS54" i="1"/>
  <c r="I24" i="21"/>
  <c r="AS56" i="1"/>
  <c r="I25" i="21"/>
  <c r="I26" i="21"/>
  <c r="AS59" i="1"/>
  <c r="I27" i="21"/>
  <c r="AS61" i="1"/>
  <c r="I28" i="21"/>
  <c r="AS45" i="1"/>
  <c r="I19" i="21"/>
  <c r="AS46" i="1"/>
  <c r="I20" i="21"/>
  <c r="AS48" i="1"/>
  <c r="I21" i="21"/>
  <c r="I30" i="21"/>
  <c r="AS83" i="1"/>
  <c r="I31" i="21"/>
  <c r="I32" i="21"/>
  <c r="AS84" i="1"/>
  <c r="AS85" i="1"/>
  <c r="I7" i="21"/>
  <c r="I8" i="21"/>
  <c r="AS76" i="29"/>
  <c r="AS78" i="29"/>
  <c r="AS80" i="29"/>
  <c r="AS83" i="29"/>
  <c r="AS36" i="1"/>
  <c r="AS80" i="1"/>
  <c r="I10" i="21"/>
  <c r="AS67" i="29"/>
  <c r="AS69" i="29"/>
  <c r="AS71" i="29"/>
  <c r="AS74" i="29"/>
  <c r="AS34" i="1"/>
  <c r="AS81" i="1"/>
  <c r="I11" i="21"/>
  <c r="I12" i="21"/>
  <c r="I14" i="21"/>
  <c r="I34" i="21"/>
  <c r="AT79" i="1"/>
  <c r="AT43" i="1"/>
  <c r="J18" i="21"/>
  <c r="AT50" i="1"/>
  <c r="J22" i="21"/>
  <c r="AT52" i="1"/>
  <c r="J23" i="21"/>
  <c r="AT54" i="1"/>
  <c r="J24" i="21"/>
  <c r="AT56" i="1"/>
  <c r="J25" i="21"/>
  <c r="J26" i="21"/>
  <c r="AT59" i="1"/>
  <c r="J27" i="21"/>
  <c r="AT61" i="1"/>
  <c r="J28" i="21"/>
  <c r="AT45" i="1"/>
  <c r="J19" i="21"/>
  <c r="AT46" i="1"/>
  <c r="J20" i="21"/>
  <c r="AT48" i="1"/>
  <c r="J21" i="21"/>
  <c r="J30" i="21"/>
  <c r="AT83" i="1"/>
  <c r="J31" i="21"/>
  <c r="J32" i="21"/>
  <c r="AT84" i="1"/>
  <c r="AT85" i="1"/>
  <c r="J7" i="21"/>
  <c r="J8" i="21"/>
  <c r="AT76" i="29"/>
  <c r="AT78" i="29"/>
  <c r="AT80" i="29"/>
  <c r="AT83" i="29"/>
  <c r="AT36" i="1"/>
  <c r="AT80" i="1"/>
  <c r="J10" i="21"/>
  <c r="AT67" i="29"/>
  <c r="AT69" i="29"/>
  <c r="AT71" i="29"/>
  <c r="AT74" i="29"/>
  <c r="AT34" i="1"/>
  <c r="AT81" i="1"/>
  <c r="J11" i="21"/>
  <c r="J12" i="21"/>
  <c r="J14" i="21"/>
  <c r="J34" i="21"/>
  <c r="AU79" i="1"/>
  <c r="AU43" i="1"/>
  <c r="K18" i="21"/>
  <c r="AU50" i="1"/>
  <c r="K22" i="21"/>
  <c r="AU52" i="1"/>
  <c r="K23" i="21"/>
  <c r="AU54" i="1"/>
  <c r="K24" i="21"/>
  <c r="AU56" i="1"/>
  <c r="K25" i="21"/>
  <c r="K26" i="21"/>
  <c r="AU59" i="1"/>
  <c r="K27" i="21"/>
  <c r="AU61" i="1"/>
  <c r="K28" i="21"/>
  <c r="AU45" i="1"/>
  <c r="K19" i="21"/>
  <c r="AU46" i="1"/>
  <c r="K20" i="21"/>
  <c r="AU48" i="1"/>
  <c r="K21" i="21"/>
  <c r="K30" i="21"/>
  <c r="AU83" i="1"/>
  <c r="K31" i="21"/>
  <c r="K32" i="21"/>
  <c r="AU84" i="1"/>
  <c r="AU85" i="1"/>
  <c r="K7" i="21"/>
  <c r="K8" i="21"/>
  <c r="AU76" i="29"/>
  <c r="AU78" i="29"/>
  <c r="AU80" i="29"/>
  <c r="AU83" i="29"/>
  <c r="AU36" i="1"/>
  <c r="AU80" i="1"/>
  <c r="K10" i="21"/>
  <c r="AU67" i="29"/>
  <c r="AU69" i="29"/>
  <c r="AU71" i="29"/>
  <c r="AU74" i="29"/>
  <c r="AU34" i="1"/>
  <c r="AU81" i="1"/>
  <c r="K11" i="21"/>
  <c r="K12" i="21"/>
  <c r="K14" i="21"/>
  <c r="K34" i="21"/>
  <c r="AV79" i="1"/>
  <c r="AV43" i="1"/>
  <c r="L18" i="21"/>
  <c r="AV50" i="1"/>
  <c r="L22" i="21"/>
  <c r="AV52" i="1"/>
  <c r="L23" i="21"/>
  <c r="AV54" i="1"/>
  <c r="L24" i="21"/>
  <c r="AV56" i="1"/>
  <c r="L25" i="21"/>
  <c r="L26" i="21"/>
  <c r="AV59" i="1"/>
  <c r="L27" i="21"/>
  <c r="AV61" i="1"/>
  <c r="L28" i="21"/>
  <c r="AV45" i="1"/>
  <c r="L19" i="21"/>
  <c r="AV46" i="1"/>
  <c r="L20" i="21"/>
  <c r="AV48" i="1"/>
  <c r="L21" i="21"/>
  <c r="L30" i="21"/>
  <c r="AV83" i="1"/>
  <c r="L31" i="21"/>
  <c r="L32" i="21"/>
  <c r="AV84" i="1"/>
  <c r="AV85" i="1"/>
  <c r="L7" i="21"/>
  <c r="L8" i="21"/>
  <c r="AV76" i="29"/>
  <c r="AV78" i="29"/>
  <c r="AV80" i="29"/>
  <c r="AV83" i="29"/>
  <c r="AV36" i="1"/>
  <c r="AV80" i="1"/>
  <c r="L10" i="21"/>
  <c r="AV67" i="29"/>
  <c r="AV69" i="29"/>
  <c r="AV71" i="29"/>
  <c r="AV74" i="29"/>
  <c r="AV34" i="1"/>
  <c r="AV81" i="1"/>
  <c r="L11" i="21"/>
  <c r="L12" i="21"/>
  <c r="L14" i="21"/>
  <c r="L34" i="21"/>
  <c r="AW79" i="1"/>
  <c r="AW43" i="1"/>
  <c r="M18" i="21"/>
  <c r="AW50" i="1"/>
  <c r="M22" i="21"/>
  <c r="AW52" i="1"/>
  <c r="M23" i="21"/>
  <c r="AW54" i="1"/>
  <c r="M24" i="21"/>
  <c r="AW56" i="1"/>
  <c r="M25" i="21"/>
  <c r="M26" i="21"/>
  <c r="AW59" i="1"/>
  <c r="M27" i="21"/>
  <c r="AW61" i="1"/>
  <c r="M28" i="21"/>
  <c r="AW45" i="1"/>
  <c r="M19" i="21"/>
  <c r="AW46" i="1"/>
  <c r="M20" i="21"/>
  <c r="AW48" i="1"/>
  <c r="M21" i="21"/>
  <c r="M30" i="21"/>
  <c r="AW83" i="1"/>
  <c r="M31" i="21"/>
  <c r="M32" i="21"/>
  <c r="AW84" i="1"/>
  <c r="AW85" i="1"/>
  <c r="M7" i="21"/>
  <c r="M8" i="21"/>
  <c r="AW76" i="29"/>
  <c r="AW78" i="29"/>
  <c r="AW80" i="29"/>
  <c r="AW83" i="29"/>
  <c r="AW36" i="1"/>
  <c r="AW80" i="1"/>
  <c r="M10" i="21"/>
  <c r="AW67" i="29"/>
  <c r="AW69" i="29"/>
  <c r="AW71" i="29"/>
  <c r="AW74" i="29"/>
  <c r="AW34" i="1"/>
  <c r="AW81" i="1"/>
  <c r="M11" i="21"/>
  <c r="M12" i="21"/>
  <c r="M14" i="21"/>
  <c r="M34" i="21"/>
  <c r="N34" i="21"/>
  <c r="E29" i="15"/>
  <c r="AX79" i="1"/>
  <c r="AX43" i="1"/>
  <c r="B18" i="22"/>
  <c r="AX50" i="1"/>
  <c r="B22" i="22"/>
  <c r="AX52" i="1"/>
  <c r="B23" i="22"/>
  <c r="AX54" i="1"/>
  <c r="B24" i="22"/>
  <c r="AX56" i="1"/>
  <c r="B25" i="22"/>
  <c r="B26" i="22"/>
  <c r="AX59" i="1"/>
  <c r="B27" i="22"/>
  <c r="AX61" i="1"/>
  <c r="B28" i="22"/>
  <c r="AX45" i="1"/>
  <c r="B19" i="22"/>
  <c r="AX46" i="1"/>
  <c r="B20" i="22"/>
  <c r="AX48" i="1"/>
  <c r="B21" i="22"/>
  <c r="B30" i="22"/>
  <c r="AX83" i="1"/>
  <c r="B31" i="22"/>
  <c r="B32" i="22"/>
  <c r="AX84" i="1"/>
  <c r="AX85" i="1"/>
  <c r="B7" i="22"/>
  <c r="B8" i="22"/>
  <c r="AX76" i="29"/>
  <c r="AX78" i="29"/>
  <c r="AX80" i="29"/>
  <c r="AX83" i="29"/>
  <c r="AX36" i="1"/>
  <c r="AX80" i="1"/>
  <c r="B10" i="22"/>
  <c r="AX67" i="29"/>
  <c r="AX69" i="29"/>
  <c r="AX71" i="29"/>
  <c r="AX74" i="29"/>
  <c r="AX34" i="1"/>
  <c r="AX81" i="1"/>
  <c r="B11" i="22"/>
  <c r="B12" i="22"/>
  <c r="B14" i="22"/>
  <c r="B34" i="22"/>
  <c r="AY79" i="1"/>
  <c r="AY43" i="1"/>
  <c r="C18" i="22"/>
  <c r="AY50" i="1"/>
  <c r="C22" i="22"/>
  <c r="AY52" i="1"/>
  <c r="C23" i="22"/>
  <c r="AY54" i="1"/>
  <c r="C24" i="22"/>
  <c r="AY56" i="1"/>
  <c r="C25" i="22"/>
  <c r="C26" i="22"/>
  <c r="AY59" i="1"/>
  <c r="C27" i="22"/>
  <c r="AY61" i="1"/>
  <c r="C28" i="22"/>
  <c r="AY45" i="1"/>
  <c r="C19" i="22"/>
  <c r="AY46" i="1"/>
  <c r="C20" i="22"/>
  <c r="AY48" i="1"/>
  <c r="C21" i="22"/>
  <c r="C30" i="22"/>
  <c r="AY83" i="1"/>
  <c r="C31" i="22"/>
  <c r="C32" i="22"/>
  <c r="AY84" i="1"/>
  <c r="AY85" i="1"/>
  <c r="C7" i="22"/>
  <c r="C8" i="22"/>
  <c r="AY76" i="29"/>
  <c r="AY78" i="29"/>
  <c r="AY80" i="29"/>
  <c r="AY83" i="29"/>
  <c r="AY36" i="1"/>
  <c r="AY80" i="1"/>
  <c r="C10" i="22"/>
  <c r="AY67" i="29"/>
  <c r="AY69" i="29"/>
  <c r="AY71" i="29"/>
  <c r="AY74" i="29"/>
  <c r="AY34" i="1"/>
  <c r="AY81" i="1"/>
  <c r="C11" i="22"/>
  <c r="C12" i="22"/>
  <c r="C14" i="22"/>
  <c r="C34" i="22"/>
  <c r="AZ79" i="1"/>
  <c r="AZ43" i="1"/>
  <c r="D18" i="22"/>
  <c r="AZ50" i="1"/>
  <c r="D22" i="22"/>
  <c r="AZ52" i="1"/>
  <c r="D23" i="22"/>
  <c r="AZ54" i="1"/>
  <c r="D24" i="22"/>
  <c r="AZ56" i="1"/>
  <c r="D25" i="22"/>
  <c r="D26" i="22"/>
  <c r="AZ59" i="1"/>
  <c r="D27" i="22"/>
  <c r="AZ61" i="1"/>
  <c r="D28" i="22"/>
  <c r="AZ45" i="1"/>
  <c r="D19" i="22"/>
  <c r="AZ46" i="1"/>
  <c r="D20" i="22"/>
  <c r="AZ48" i="1"/>
  <c r="D21" i="22"/>
  <c r="D30" i="22"/>
  <c r="AZ83" i="1"/>
  <c r="D31" i="22"/>
  <c r="D32" i="22"/>
  <c r="AZ84" i="1"/>
  <c r="AZ85" i="1"/>
  <c r="D7" i="22"/>
  <c r="D8" i="22"/>
  <c r="AZ76" i="29"/>
  <c r="AZ78" i="29"/>
  <c r="AZ80" i="29"/>
  <c r="AZ83" i="29"/>
  <c r="AZ36" i="1"/>
  <c r="AZ80" i="1"/>
  <c r="D10" i="22"/>
  <c r="AZ67" i="29"/>
  <c r="AZ69" i="29"/>
  <c r="AZ71" i="29"/>
  <c r="AZ74" i="29"/>
  <c r="AZ34" i="1"/>
  <c r="AZ81" i="1"/>
  <c r="D11" i="22"/>
  <c r="D12" i="22"/>
  <c r="D14" i="22"/>
  <c r="D34" i="22"/>
  <c r="BA79" i="1"/>
  <c r="BA43" i="1"/>
  <c r="E18" i="22"/>
  <c r="BA50" i="1"/>
  <c r="E22" i="22"/>
  <c r="BA52" i="1"/>
  <c r="E23" i="22"/>
  <c r="BA54" i="1"/>
  <c r="E24" i="22"/>
  <c r="BA56" i="1"/>
  <c r="E25" i="22"/>
  <c r="E26" i="22"/>
  <c r="BA59" i="1"/>
  <c r="E27" i="22"/>
  <c r="BA61" i="1"/>
  <c r="E28" i="22"/>
  <c r="BA45" i="1"/>
  <c r="E19" i="22"/>
  <c r="BA46" i="1"/>
  <c r="E20" i="22"/>
  <c r="BA48" i="1"/>
  <c r="E21" i="22"/>
  <c r="E30" i="22"/>
  <c r="BA83" i="1"/>
  <c r="E31" i="22"/>
  <c r="E32" i="22"/>
  <c r="BA84" i="1"/>
  <c r="BA85" i="1"/>
  <c r="E7" i="22"/>
  <c r="E8" i="22"/>
  <c r="BA76" i="29"/>
  <c r="BA78" i="29"/>
  <c r="BA80" i="29"/>
  <c r="BA83" i="29"/>
  <c r="BA36" i="1"/>
  <c r="BA80" i="1"/>
  <c r="E10" i="22"/>
  <c r="BA67" i="29"/>
  <c r="BA69" i="29"/>
  <c r="BA71" i="29"/>
  <c r="BA74" i="29"/>
  <c r="BA34" i="1"/>
  <c r="BA81" i="1"/>
  <c r="E11" i="22"/>
  <c r="E12" i="22"/>
  <c r="E14" i="22"/>
  <c r="E34" i="22"/>
  <c r="BB79" i="1"/>
  <c r="BB43" i="1"/>
  <c r="F18" i="22"/>
  <c r="BB50" i="1"/>
  <c r="F22" i="22"/>
  <c r="BB52" i="1"/>
  <c r="F23" i="22"/>
  <c r="BB54" i="1"/>
  <c r="F24" i="22"/>
  <c r="BB56" i="1"/>
  <c r="F25" i="22"/>
  <c r="F26" i="22"/>
  <c r="BB59" i="1"/>
  <c r="F27" i="22"/>
  <c r="BB61" i="1"/>
  <c r="F28" i="22"/>
  <c r="BB45" i="1"/>
  <c r="F19" i="22"/>
  <c r="BB46" i="1"/>
  <c r="F20" i="22"/>
  <c r="BB48" i="1"/>
  <c r="F21" i="22"/>
  <c r="F30" i="22"/>
  <c r="BB83" i="1"/>
  <c r="F31" i="22"/>
  <c r="F32" i="22"/>
  <c r="BB84" i="1"/>
  <c r="BB85" i="1"/>
  <c r="F7" i="22"/>
  <c r="F8" i="22"/>
  <c r="BB76" i="29"/>
  <c r="BB78" i="29"/>
  <c r="BB80" i="29"/>
  <c r="BB83" i="29"/>
  <c r="BB36" i="1"/>
  <c r="BB80" i="1"/>
  <c r="F10" i="22"/>
  <c r="BB67" i="29"/>
  <c r="BB69" i="29"/>
  <c r="BB71" i="29"/>
  <c r="BB74" i="29"/>
  <c r="BB34" i="1"/>
  <c r="BB81" i="1"/>
  <c r="F11" i="22"/>
  <c r="F12" i="22"/>
  <c r="F14" i="22"/>
  <c r="F34" i="22"/>
  <c r="BC79" i="1"/>
  <c r="BC43" i="1"/>
  <c r="G18" i="22"/>
  <c r="BC50" i="1"/>
  <c r="G22" i="22"/>
  <c r="BC52" i="1"/>
  <c r="G23" i="22"/>
  <c r="BC54" i="1"/>
  <c r="G24" i="22"/>
  <c r="BC56" i="1"/>
  <c r="G25" i="22"/>
  <c r="G26" i="22"/>
  <c r="BC59" i="1"/>
  <c r="G27" i="22"/>
  <c r="BC61" i="1"/>
  <c r="G28" i="22"/>
  <c r="BC45" i="1"/>
  <c r="G19" i="22"/>
  <c r="BC46" i="1"/>
  <c r="G20" i="22"/>
  <c r="BC48" i="1"/>
  <c r="G21" i="22"/>
  <c r="G30" i="22"/>
  <c r="BC83" i="1"/>
  <c r="G31" i="22"/>
  <c r="G32" i="22"/>
  <c r="BC84" i="1"/>
  <c r="BC85" i="1"/>
  <c r="G7" i="22"/>
  <c r="G8" i="22"/>
  <c r="BC76" i="29"/>
  <c r="BC78" i="29"/>
  <c r="BC80" i="29"/>
  <c r="BC83" i="29"/>
  <c r="BC36" i="1"/>
  <c r="BC80" i="1"/>
  <c r="G10" i="22"/>
  <c r="BC67" i="29"/>
  <c r="BC69" i="29"/>
  <c r="BC71" i="29"/>
  <c r="BC74" i="29"/>
  <c r="BC34" i="1"/>
  <c r="BC81" i="1"/>
  <c r="G11" i="22"/>
  <c r="G12" i="22"/>
  <c r="G14" i="22"/>
  <c r="G34" i="22"/>
  <c r="BD79" i="1"/>
  <c r="BD43" i="1"/>
  <c r="H18" i="22"/>
  <c r="BD50" i="1"/>
  <c r="H22" i="22"/>
  <c r="BD52" i="1"/>
  <c r="H23" i="22"/>
  <c r="BD54" i="1"/>
  <c r="H24" i="22"/>
  <c r="BD56" i="1"/>
  <c r="H25" i="22"/>
  <c r="H26" i="22"/>
  <c r="BD59" i="1"/>
  <c r="H27" i="22"/>
  <c r="BD61" i="1"/>
  <c r="H28" i="22"/>
  <c r="BD45" i="1"/>
  <c r="H19" i="22"/>
  <c r="BD46" i="1"/>
  <c r="H20" i="22"/>
  <c r="BD48" i="1"/>
  <c r="H21" i="22"/>
  <c r="H30" i="22"/>
  <c r="BD83" i="1"/>
  <c r="H31" i="22"/>
  <c r="H32" i="22"/>
  <c r="BD84" i="1"/>
  <c r="BD85" i="1"/>
  <c r="H7" i="22"/>
  <c r="H8" i="22"/>
  <c r="BD76" i="29"/>
  <c r="BD78" i="29"/>
  <c r="BD80" i="29"/>
  <c r="BD83" i="29"/>
  <c r="BD36" i="1"/>
  <c r="BD80" i="1"/>
  <c r="H10" i="22"/>
  <c r="BD67" i="29"/>
  <c r="BD69" i="29"/>
  <c r="BD71" i="29"/>
  <c r="BD74" i="29"/>
  <c r="BD34" i="1"/>
  <c r="BD81" i="1"/>
  <c r="H11" i="22"/>
  <c r="H12" i="22"/>
  <c r="H14" i="22"/>
  <c r="H34" i="22"/>
  <c r="BE79" i="1"/>
  <c r="BE43" i="1"/>
  <c r="I18" i="22"/>
  <c r="BE50" i="1"/>
  <c r="I22" i="22"/>
  <c r="BE52" i="1"/>
  <c r="I23" i="22"/>
  <c r="BE54" i="1"/>
  <c r="I24" i="22"/>
  <c r="BE56" i="1"/>
  <c r="I25" i="22"/>
  <c r="I26" i="22"/>
  <c r="BE59" i="1"/>
  <c r="I27" i="22"/>
  <c r="BE61" i="1"/>
  <c r="I28" i="22"/>
  <c r="BE45" i="1"/>
  <c r="I19" i="22"/>
  <c r="BE46" i="1"/>
  <c r="I20" i="22"/>
  <c r="BE48" i="1"/>
  <c r="I21" i="22"/>
  <c r="I30" i="22"/>
  <c r="BE83" i="1"/>
  <c r="I31" i="22"/>
  <c r="I32" i="22"/>
  <c r="BE84" i="1"/>
  <c r="BE85" i="1"/>
  <c r="I7" i="22"/>
  <c r="I8" i="22"/>
  <c r="BE76" i="29"/>
  <c r="BE78" i="29"/>
  <c r="BE80" i="29"/>
  <c r="BE83" i="29"/>
  <c r="BE36" i="1"/>
  <c r="BE80" i="1"/>
  <c r="I10" i="22"/>
  <c r="BE67" i="29"/>
  <c r="BE69" i="29"/>
  <c r="BE71" i="29"/>
  <c r="BE74" i="29"/>
  <c r="BE34" i="1"/>
  <c r="BE81" i="1"/>
  <c r="I11" i="22"/>
  <c r="I12" i="22"/>
  <c r="I14" i="22"/>
  <c r="I34" i="22"/>
  <c r="BF79" i="1"/>
  <c r="BF43" i="1"/>
  <c r="J18" i="22"/>
  <c r="BF50" i="1"/>
  <c r="J22" i="22"/>
  <c r="BF52" i="1"/>
  <c r="J23" i="22"/>
  <c r="BF54" i="1"/>
  <c r="J24" i="22"/>
  <c r="BF56" i="1"/>
  <c r="J25" i="22"/>
  <c r="J26" i="22"/>
  <c r="BF59" i="1"/>
  <c r="J27" i="22"/>
  <c r="BF61" i="1"/>
  <c r="J28" i="22"/>
  <c r="BF45" i="1"/>
  <c r="J19" i="22"/>
  <c r="BF46" i="1"/>
  <c r="J20" i="22"/>
  <c r="BF48" i="1"/>
  <c r="J21" i="22"/>
  <c r="J30" i="22"/>
  <c r="BF83" i="1"/>
  <c r="J31" i="22"/>
  <c r="J32" i="22"/>
  <c r="BF84" i="1"/>
  <c r="BF85" i="1"/>
  <c r="J7" i="22"/>
  <c r="J8" i="22"/>
  <c r="BF76" i="29"/>
  <c r="BF78" i="29"/>
  <c r="BF80" i="29"/>
  <c r="BF83" i="29"/>
  <c r="BF36" i="1"/>
  <c r="BF80" i="1"/>
  <c r="J10" i="22"/>
  <c r="BF67" i="29"/>
  <c r="BF69" i="29"/>
  <c r="BF71" i="29"/>
  <c r="BF74" i="29"/>
  <c r="BF34" i="1"/>
  <c r="BF81" i="1"/>
  <c r="J11" i="22"/>
  <c r="J12" i="22"/>
  <c r="J14" i="22"/>
  <c r="J34" i="22"/>
  <c r="BG79" i="1"/>
  <c r="BG43" i="1"/>
  <c r="K18" i="22"/>
  <c r="BG50" i="1"/>
  <c r="K22" i="22"/>
  <c r="BG52" i="1"/>
  <c r="K23" i="22"/>
  <c r="BG54" i="1"/>
  <c r="K24" i="22"/>
  <c r="BG56" i="1"/>
  <c r="K25" i="22"/>
  <c r="K26" i="22"/>
  <c r="BG59" i="1"/>
  <c r="K27" i="22"/>
  <c r="BG61" i="1"/>
  <c r="K28" i="22"/>
  <c r="BG45" i="1"/>
  <c r="K19" i="22"/>
  <c r="BG46" i="1"/>
  <c r="K20" i="22"/>
  <c r="BG48" i="1"/>
  <c r="K21" i="22"/>
  <c r="K30" i="22"/>
  <c r="BG83" i="1"/>
  <c r="K31" i="22"/>
  <c r="K32" i="22"/>
  <c r="BG84" i="1"/>
  <c r="BG85" i="1"/>
  <c r="K7" i="22"/>
  <c r="K8" i="22"/>
  <c r="BG76" i="29"/>
  <c r="BG78" i="29"/>
  <c r="BG80" i="29"/>
  <c r="BG83" i="29"/>
  <c r="BG36" i="1"/>
  <c r="BG80" i="1"/>
  <c r="K10" i="22"/>
  <c r="BG67" i="29"/>
  <c r="BG69" i="29"/>
  <c r="BG71" i="29"/>
  <c r="BG74" i="29"/>
  <c r="BG34" i="1"/>
  <c r="BG81" i="1"/>
  <c r="K11" i="22"/>
  <c r="K12" i="22"/>
  <c r="K14" i="22"/>
  <c r="K34" i="22"/>
  <c r="BH79" i="1"/>
  <c r="BH43" i="1"/>
  <c r="L18" i="22"/>
  <c r="BH50" i="1"/>
  <c r="L22" i="22"/>
  <c r="BH52" i="1"/>
  <c r="L23" i="22"/>
  <c r="BH54" i="1"/>
  <c r="L24" i="22"/>
  <c r="BH56" i="1"/>
  <c r="L25" i="22"/>
  <c r="L26" i="22"/>
  <c r="BH59" i="1"/>
  <c r="L27" i="22"/>
  <c r="BH61" i="1"/>
  <c r="L28" i="22"/>
  <c r="BH45" i="1"/>
  <c r="L19" i="22"/>
  <c r="BH46" i="1"/>
  <c r="L20" i="22"/>
  <c r="BH48" i="1"/>
  <c r="L21" i="22"/>
  <c r="L30" i="22"/>
  <c r="BH83" i="1"/>
  <c r="L31" i="22"/>
  <c r="L32" i="22"/>
  <c r="BH84" i="1"/>
  <c r="BH85" i="1"/>
  <c r="L7" i="22"/>
  <c r="L8" i="22"/>
  <c r="BH76" i="29"/>
  <c r="BH78" i="29"/>
  <c r="BH80" i="29"/>
  <c r="BH83" i="29"/>
  <c r="BH36" i="1"/>
  <c r="BH80" i="1"/>
  <c r="L10" i="22"/>
  <c r="BH67" i="29"/>
  <c r="BH69" i="29"/>
  <c r="BH71" i="29"/>
  <c r="BH74" i="29"/>
  <c r="BH34" i="1"/>
  <c r="BH81" i="1"/>
  <c r="L11" i="22"/>
  <c r="L12" i="22"/>
  <c r="L14" i="22"/>
  <c r="L34" i="22"/>
  <c r="BI79" i="1"/>
  <c r="BI43" i="1"/>
  <c r="M18" i="22"/>
  <c r="BI50" i="1"/>
  <c r="M22" i="22"/>
  <c r="BI52" i="1"/>
  <c r="M23" i="22"/>
  <c r="BI54" i="1"/>
  <c r="M24" i="22"/>
  <c r="BI56" i="1"/>
  <c r="M25" i="22"/>
  <c r="M26" i="22"/>
  <c r="BI59" i="1"/>
  <c r="M27" i="22"/>
  <c r="BI61" i="1"/>
  <c r="M28" i="22"/>
  <c r="BI45" i="1"/>
  <c r="M19" i="22"/>
  <c r="BI46" i="1"/>
  <c r="M20" i="22"/>
  <c r="BI48" i="1"/>
  <c r="M21" i="22"/>
  <c r="M30" i="22"/>
  <c r="BI83" i="1"/>
  <c r="M31" i="22"/>
  <c r="M32" i="22"/>
  <c r="BI84" i="1"/>
  <c r="BI85" i="1"/>
  <c r="M7" i="22"/>
  <c r="M8" i="22"/>
  <c r="BI76" i="29"/>
  <c r="BI78" i="29"/>
  <c r="BI80" i="29"/>
  <c r="BI83" i="29"/>
  <c r="BI36" i="1"/>
  <c r="BI80" i="1"/>
  <c r="M10" i="22"/>
  <c r="BI67" i="29"/>
  <c r="BI69" i="29"/>
  <c r="BI71" i="29"/>
  <c r="BI74" i="29"/>
  <c r="BI34" i="1"/>
  <c r="BI81" i="1"/>
  <c r="M11" i="22"/>
  <c r="M12" i="22"/>
  <c r="M14" i="22"/>
  <c r="M34" i="22"/>
  <c r="N34" i="22"/>
  <c r="F29" i="15"/>
  <c r="B23" i="5"/>
  <c r="B24" i="5"/>
  <c r="B25" i="5"/>
  <c r="B26" i="5"/>
  <c r="B27" i="5"/>
  <c r="B28" i="5"/>
  <c r="C23" i="5"/>
  <c r="C24" i="5"/>
  <c r="C25" i="5"/>
  <c r="C26" i="5"/>
  <c r="C27" i="5"/>
  <c r="C28" i="5"/>
  <c r="D23" i="5"/>
  <c r="D24" i="5"/>
  <c r="D25" i="5"/>
  <c r="D26" i="5"/>
  <c r="D27" i="5"/>
  <c r="D28" i="5"/>
  <c r="E23" i="5"/>
  <c r="E24" i="5"/>
  <c r="E26" i="5"/>
  <c r="E27" i="5"/>
  <c r="E28" i="5"/>
  <c r="F23" i="5"/>
  <c r="F24" i="5"/>
  <c r="F26" i="5"/>
  <c r="F27" i="5"/>
  <c r="F28" i="5"/>
  <c r="G23" i="5"/>
  <c r="G24" i="5"/>
  <c r="G26" i="5"/>
  <c r="G27" i="5"/>
  <c r="G28" i="5"/>
  <c r="H23" i="5"/>
  <c r="H24" i="5"/>
  <c r="H26" i="5"/>
  <c r="H27" i="5"/>
  <c r="H28" i="5"/>
  <c r="I23" i="5"/>
  <c r="I24" i="5"/>
  <c r="I26" i="5"/>
  <c r="I27" i="5"/>
  <c r="I28" i="5"/>
  <c r="J23" i="5"/>
  <c r="J24" i="5"/>
  <c r="J26" i="5"/>
  <c r="J27" i="5"/>
  <c r="J28" i="5"/>
  <c r="K23" i="5"/>
  <c r="K24" i="5"/>
  <c r="K26" i="5"/>
  <c r="K27" i="5"/>
  <c r="K28" i="5"/>
  <c r="L23" i="5"/>
  <c r="L24" i="5"/>
  <c r="L26" i="5"/>
  <c r="L27" i="5"/>
  <c r="L28" i="5"/>
  <c r="M23" i="5"/>
  <c r="M24" i="5"/>
  <c r="M26" i="5"/>
  <c r="M27" i="5"/>
  <c r="M28" i="5"/>
  <c r="B29" i="15"/>
  <c r="B9" i="30"/>
  <c r="B10" i="30"/>
  <c r="C9" i="30"/>
  <c r="C6" i="30"/>
  <c r="C10" i="30"/>
  <c r="D9" i="30"/>
  <c r="D6" i="30"/>
  <c r="D10" i="30"/>
  <c r="E9" i="30"/>
  <c r="E6" i="30"/>
  <c r="E10" i="30"/>
  <c r="F9" i="30"/>
  <c r="F6" i="30"/>
  <c r="F10" i="30"/>
  <c r="G9" i="30"/>
  <c r="G6" i="30"/>
  <c r="G10" i="30"/>
  <c r="H9" i="30"/>
  <c r="H6" i="30"/>
  <c r="H10" i="30"/>
  <c r="I9" i="30"/>
  <c r="I6" i="30"/>
  <c r="I10" i="30"/>
  <c r="J6" i="30"/>
  <c r="J9" i="30"/>
  <c r="J10" i="30"/>
  <c r="K6" i="30"/>
  <c r="K9" i="30"/>
  <c r="K10" i="30"/>
  <c r="L6" i="30"/>
  <c r="L9" i="30"/>
  <c r="L10" i="30"/>
  <c r="M6" i="30"/>
  <c r="M9" i="30"/>
  <c r="M10" i="30"/>
  <c r="N6" i="30"/>
  <c r="N9" i="30"/>
  <c r="N10" i="30"/>
  <c r="O6" i="30"/>
  <c r="O9" i="30"/>
  <c r="O10" i="30"/>
  <c r="P6" i="30"/>
  <c r="P9" i="30"/>
  <c r="P10" i="30"/>
  <c r="Q6" i="30"/>
  <c r="Q9" i="30"/>
  <c r="Q10" i="30"/>
  <c r="R6" i="30"/>
  <c r="R9" i="30"/>
  <c r="R10" i="30"/>
  <c r="S6" i="30"/>
  <c r="S9" i="30"/>
  <c r="S10" i="30"/>
  <c r="T6" i="30"/>
  <c r="T9" i="30"/>
  <c r="T10" i="30"/>
  <c r="U6" i="30"/>
  <c r="U9" i="30"/>
  <c r="U10" i="30"/>
  <c r="V6" i="30"/>
  <c r="V9" i="30"/>
  <c r="V10" i="30"/>
  <c r="W6" i="30"/>
  <c r="W9" i="30"/>
  <c r="W10" i="30"/>
  <c r="X6" i="30"/>
  <c r="X9" i="30"/>
  <c r="X10" i="30"/>
  <c r="Y6" i="30"/>
  <c r="Y9" i="30"/>
  <c r="Y10" i="30"/>
  <c r="Z6" i="30"/>
  <c r="Z9" i="30"/>
  <c r="Z10" i="30"/>
  <c r="AA6" i="30"/>
  <c r="AA9" i="30"/>
  <c r="AA10" i="30"/>
  <c r="AB6" i="30"/>
  <c r="AB9" i="30"/>
  <c r="AB10" i="30"/>
  <c r="AC6" i="30"/>
  <c r="AC9" i="30"/>
  <c r="AC10" i="30"/>
  <c r="AD6" i="30"/>
  <c r="AD9" i="30"/>
  <c r="AD10" i="30"/>
  <c r="AE6" i="30"/>
  <c r="AE9" i="30"/>
  <c r="AE10" i="30"/>
  <c r="AF6" i="30"/>
  <c r="AF9" i="30"/>
  <c r="AF10" i="30"/>
  <c r="AG6" i="30"/>
  <c r="AG9" i="30"/>
  <c r="AG10" i="30"/>
  <c r="AH6" i="30"/>
  <c r="AH9" i="30"/>
  <c r="AH10" i="30"/>
  <c r="AI6" i="30"/>
  <c r="AI9" i="30"/>
  <c r="AI10" i="30"/>
  <c r="AJ6" i="30"/>
  <c r="AJ9" i="30"/>
  <c r="AJ10" i="30"/>
  <c r="AK6" i="30"/>
  <c r="AK9" i="30"/>
  <c r="AK10" i="30"/>
  <c r="AL6" i="30"/>
  <c r="AL9" i="30"/>
  <c r="AL10" i="30"/>
  <c r="AM6" i="30"/>
  <c r="AM9" i="30"/>
  <c r="AM10" i="30"/>
  <c r="AN6" i="30"/>
  <c r="AN9" i="30"/>
  <c r="AN10" i="30"/>
  <c r="AO6" i="30"/>
  <c r="AO9" i="30"/>
  <c r="AO10" i="30"/>
  <c r="AP6" i="30"/>
  <c r="AP9" i="30"/>
  <c r="AP10" i="30"/>
  <c r="AQ6" i="30"/>
  <c r="AQ9" i="30"/>
  <c r="AQ10" i="30"/>
  <c r="AR6" i="30"/>
  <c r="AR9" i="30"/>
  <c r="AR10" i="30"/>
  <c r="AS6" i="30"/>
  <c r="AS9" i="30"/>
  <c r="AS10" i="30"/>
  <c r="AT6" i="30"/>
  <c r="AT9" i="30"/>
  <c r="AT10" i="30"/>
  <c r="AU6" i="30"/>
  <c r="AU9" i="30"/>
  <c r="AU10" i="30"/>
  <c r="AV6" i="30"/>
  <c r="AV9" i="30"/>
  <c r="AV10" i="30"/>
  <c r="AW6" i="30"/>
  <c r="AW9" i="30"/>
  <c r="AW10" i="30"/>
  <c r="AX6" i="30"/>
  <c r="AX9" i="30"/>
  <c r="AX10" i="30"/>
  <c r="AY6" i="30"/>
  <c r="AY9" i="30"/>
  <c r="AY10" i="30"/>
  <c r="AZ6" i="30"/>
  <c r="AZ9" i="30"/>
  <c r="AZ10" i="30"/>
  <c r="BA6" i="30"/>
  <c r="BA9" i="30"/>
  <c r="BA10" i="30"/>
  <c r="BB6" i="30"/>
  <c r="BB9" i="30"/>
  <c r="BB10" i="30"/>
  <c r="BC6" i="30"/>
  <c r="BC9" i="30"/>
  <c r="BC10" i="30"/>
  <c r="BD6" i="30"/>
  <c r="BD9" i="30"/>
  <c r="BD10" i="30"/>
  <c r="BE6" i="30"/>
  <c r="BE9" i="30"/>
  <c r="BE10" i="30"/>
  <c r="BF6" i="30"/>
  <c r="BF9" i="30"/>
  <c r="BF10" i="30"/>
  <c r="BG6" i="30"/>
  <c r="BG9" i="30"/>
  <c r="BG10" i="30"/>
  <c r="BH6" i="30"/>
  <c r="BH9" i="30"/>
  <c r="BH10" i="30"/>
  <c r="BI6" i="30"/>
  <c r="B16" i="30"/>
  <c r="B17" i="30"/>
  <c r="C13" i="30"/>
  <c r="C16" i="30"/>
  <c r="C17" i="30"/>
  <c r="C14" i="30"/>
  <c r="C21" i="30"/>
  <c r="B23" i="30"/>
  <c r="B24" i="30"/>
  <c r="C23" i="30"/>
  <c r="C20" i="30"/>
  <c r="C24" i="30"/>
  <c r="C26" i="30"/>
  <c r="D13" i="30"/>
  <c r="D16" i="30"/>
  <c r="D17" i="30"/>
  <c r="D14" i="30"/>
  <c r="D21" i="30"/>
  <c r="D23" i="30"/>
  <c r="D20" i="30"/>
  <c r="D24" i="30"/>
  <c r="D26" i="30"/>
  <c r="E13" i="30"/>
  <c r="E16" i="30"/>
  <c r="E17" i="30"/>
  <c r="E14" i="30"/>
  <c r="E21" i="30"/>
  <c r="E23" i="30"/>
  <c r="E20" i="30"/>
  <c r="E24" i="30"/>
  <c r="E26" i="30"/>
  <c r="F13" i="30"/>
  <c r="F16" i="30"/>
  <c r="F17" i="30"/>
  <c r="F14" i="30"/>
  <c r="F21" i="30"/>
  <c r="F23" i="30"/>
  <c r="F20" i="30"/>
  <c r="F24" i="30"/>
  <c r="F26" i="30"/>
  <c r="G13" i="30"/>
  <c r="G16" i="30"/>
  <c r="G17" i="30"/>
  <c r="G14" i="30"/>
  <c r="G21" i="30"/>
  <c r="G23" i="30"/>
  <c r="G20" i="30"/>
  <c r="G24" i="30"/>
  <c r="G26" i="30"/>
  <c r="H13" i="30"/>
  <c r="H16" i="30"/>
  <c r="H17" i="30"/>
  <c r="H14" i="30"/>
  <c r="H21" i="30"/>
  <c r="H23" i="30"/>
  <c r="H20" i="30"/>
  <c r="H24" i="30"/>
  <c r="H26" i="30"/>
  <c r="I13" i="30"/>
  <c r="I16" i="30"/>
  <c r="I17" i="30"/>
  <c r="I14" i="30"/>
  <c r="I21" i="30"/>
  <c r="I23" i="30"/>
  <c r="I20" i="30"/>
  <c r="I24" i="30"/>
  <c r="I26" i="30"/>
  <c r="J13" i="30"/>
  <c r="J16" i="30"/>
  <c r="J17" i="30"/>
  <c r="J14" i="30"/>
  <c r="J21" i="30"/>
  <c r="J23" i="30"/>
  <c r="J20" i="30"/>
  <c r="J24" i="30"/>
  <c r="J26" i="30"/>
  <c r="K13" i="30"/>
  <c r="K16" i="30"/>
  <c r="K17" i="30"/>
  <c r="K14" i="30"/>
  <c r="K21" i="30"/>
  <c r="K23" i="30"/>
  <c r="K20" i="30"/>
  <c r="K24" i="30"/>
  <c r="K26" i="30"/>
  <c r="L13" i="30"/>
  <c r="L16" i="30"/>
  <c r="L17" i="30"/>
  <c r="L14" i="30"/>
  <c r="L21" i="30"/>
  <c r="L23" i="30"/>
  <c r="L20" i="30"/>
  <c r="L24" i="30"/>
  <c r="L26" i="30"/>
  <c r="M13" i="30"/>
  <c r="M16" i="30"/>
  <c r="M17" i="30"/>
  <c r="M14" i="30"/>
  <c r="M21" i="30"/>
  <c r="M23" i="30"/>
  <c r="M20" i="30"/>
  <c r="M24" i="30"/>
  <c r="M26" i="30"/>
  <c r="N13" i="30"/>
  <c r="N16" i="30"/>
  <c r="N17" i="30"/>
  <c r="N14" i="30"/>
  <c r="N21" i="30"/>
  <c r="N23" i="30"/>
  <c r="N20" i="30"/>
  <c r="N24" i="30"/>
  <c r="N26" i="30"/>
  <c r="O13" i="30"/>
  <c r="O16" i="30"/>
  <c r="O17" i="30"/>
  <c r="O14" i="30"/>
  <c r="O21" i="30"/>
  <c r="O23" i="30"/>
  <c r="O20" i="30"/>
  <c r="O24" i="30"/>
  <c r="O26" i="30"/>
  <c r="P13" i="30"/>
  <c r="P16" i="30"/>
  <c r="P17" i="30"/>
  <c r="P14" i="30"/>
  <c r="P21" i="30"/>
  <c r="P23" i="30"/>
  <c r="P20" i="30"/>
  <c r="P24" i="30"/>
  <c r="P26" i="30"/>
  <c r="Q13" i="30"/>
  <c r="Q16" i="30"/>
  <c r="Q17" i="30"/>
  <c r="Q14" i="30"/>
  <c r="Q21" i="30"/>
  <c r="Q23" i="30"/>
  <c r="Q20" i="30"/>
  <c r="Q24" i="30"/>
  <c r="Q26" i="30"/>
  <c r="R13" i="30"/>
  <c r="R16" i="30"/>
  <c r="R17" i="30"/>
  <c r="R14" i="30"/>
  <c r="R21" i="30"/>
  <c r="R23" i="30"/>
  <c r="R20" i="30"/>
  <c r="R24" i="30"/>
  <c r="R26" i="30"/>
  <c r="S13" i="30"/>
  <c r="S16" i="30"/>
  <c r="S17" i="30"/>
  <c r="S14" i="30"/>
  <c r="S21" i="30"/>
  <c r="S23" i="30"/>
  <c r="S20" i="30"/>
  <c r="S24" i="30"/>
  <c r="S26" i="30"/>
  <c r="T13" i="30"/>
  <c r="T16" i="30"/>
  <c r="T17" i="30"/>
  <c r="T14" i="30"/>
  <c r="T21" i="30"/>
  <c r="T23" i="30"/>
  <c r="T20" i="30"/>
  <c r="T24" i="30"/>
  <c r="T26" i="30"/>
  <c r="U13" i="30"/>
  <c r="U16" i="30"/>
  <c r="U17" i="30"/>
  <c r="U14" i="30"/>
  <c r="U21" i="30"/>
  <c r="U23" i="30"/>
  <c r="U20" i="30"/>
  <c r="U24" i="30"/>
  <c r="U26" i="30"/>
  <c r="V13" i="30"/>
  <c r="V16" i="30"/>
  <c r="V17" i="30"/>
  <c r="V14" i="30"/>
  <c r="V21" i="30"/>
  <c r="V23" i="30"/>
  <c r="V20" i="30"/>
  <c r="V24" i="30"/>
  <c r="V26" i="30"/>
  <c r="W13" i="30"/>
  <c r="W16" i="30"/>
  <c r="W17" i="30"/>
  <c r="W14" i="30"/>
  <c r="W21" i="30"/>
  <c r="W23" i="30"/>
  <c r="W20" i="30"/>
  <c r="W24" i="30"/>
  <c r="W26" i="30"/>
  <c r="X13" i="30"/>
  <c r="X16" i="30"/>
  <c r="X17" i="30"/>
  <c r="X14" i="30"/>
  <c r="X21" i="30"/>
  <c r="X23" i="30"/>
  <c r="X20" i="30"/>
  <c r="X24" i="30"/>
  <c r="X26" i="30"/>
  <c r="Y13" i="30"/>
  <c r="Y16" i="30"/>
  <c r="Y17" i="30"/>
  <c r="Y14" i="30"/>
  <c r="Y21" i="30"/>
  <c r="Y23" i="30"/>
  <c r="Y20" i="30"/>
  <c r="Y24" i="30"/>
  <c r="Y26" i="30"/>
  <c r="Z13" i="30"/>
  <c r="Z16" i="30"/>
  <c r="Z17" i="30"/>
  <c r="Z14" i="30"/>
  <c r="Z21" i="30"/>
  <c r="Z23" i="30"/>
  <c r="Z20" i="30"/>
  <c r="Z24" i="30"/>
  <c r="Z26" i="30"/>
  <c r="AA13" i="30"/>
  <c r="AA16" i="30"/>
  <c r="AA17" i="30"/>
  <c r="AA14" i="30"/>
  <c r="AA21" i="30"/>
  <c r="AA23" i="30"/>
  <c r="AA20" i="30"/>
  <c r="AA24" i="30"/>
  <c r="AA26" i="30"/>
  <c r="AB13" i="30"/>
  <c r="AB16" i="30"/>
  <c r="AB17" i="30"/>
  <c r="AB14" i="30"/>
  <c r="AB21" i="30"/>
  <c r="AB23" i="30"/>
  <c r="AB20" i="30"/>
  <c r="AB24" i="30"/>
  <c r="AB26" i="30"/>
  <c r="AC13" i="30"/>
  <c r="AC16" i="30"/>
  <c r="AC17" i="30"/>
  <c r="AC14" i="30"/>
  <c r="AC21" i="30"/>
  <c r="AC23" i="30"/>
  <c r="AC20" i="30"/>
  <c r="AC24" i="30"/>
  <c r="AC26" i="30"/>
  <c r="AD13" i="30"/>
  <c r="AD16" i="30"/>
  <c r="AD17" i="30"/>
  <c r="AD14" i="30"/>
  <c r="AD21" i="30"/>
  <c r="AD23" i="30"/>
  <c r="AD20" i="30"/>
  <c r="AD24" i="30"/>
  <c r="AD26" i="30"/>
  <c r="AE13" i="30"/>
  <c r="AE16" i="30"/>
  <c r="AE17" i="30"/>
  <c r="AE14" i="30"/>
  <c r="AE21" i="30"/>
  <c r="AE23" i="30"/>
  <c r="AE20" i="30"/>
  <c r="AE24" i="30"/>
  <c r="AE26" i="30"/>
  <c r="AF13" i="30"/>
  <c r="AF16" i="30"/>
  <c r="AF17" i="30"/>
  <c r="AF14" i="30"/>
  <c r="AF21" i="30"/>
  <c r="AF23" i="30"/>
  <c r="AF20" i="30"/>
  <c r="AF24" i="30"/>
  <c r="AF26" i="30"/>
  <c r="AG13" i="30"/>
  <c r="AG16" i="30"/>
  <c r="AG17" i="30"/>
  <c r="AG14" i="30"/>
  <c r="AG21" i="30"/>
  <c r="AG23" i="30"/>
  <c r="AG20" i="30"/>
  <c r="AG24" i="30"/>
  <c r="AG26" i="30"/>
  <c r="AH13" i="30"/>
  <c r="AH16" i="30"/>
  <c r="AH17" i="30"/>
  <c r="AH14" i="30"/>
  <c r="AH21" i="30"/>
  <c r="AH23" i="30"/>
  <c r="AH20" i="30"/>
  <c r="AH24" i="30"/>
  <c r="AH26" i="30"/>
  <c r="AI13" i="30"/>
  <c r="AI16" i="30"/>
  <c r="AI17" i="30"/>
  <c r="AI14" i="30"/>
  <c r="AI21" i="30"/>
  <c r="AI23" i="30"/>
  <c r="AI20" i="30"/>
  <c r="AI24" i="30"/>
  <c r="AI26" i="30"/>
  <c r="AJ13" i="30"/>
  <c r="AJ16" i="30"/>
  <c r="AJ17" i="30"/>
  <c r="AJ14" i="30"/>
  <c r="AJ21" i="30"/>
  <c r="AJ23" i="30"/>
  <c r="AJ20" i="30"/>
  <c r="AJ24" i="30"/>
  <c r="AJ26" i="30"/>
  <c r="AK13" i="30"/>
  <c r="AK16" i="30"/>
  <c r="AK17" i="30"/>
  <c r="AK14" i="30"/>
  <c r="AK21" i="30"/>
  <c r="AK23" i="30"/>
  <c r="AK20" i="30"/>
  <c r="AK24" i="30"/>
  <c r="AK26" i="30"/>
  <c r="AL13" i="30"/>
  <c r="AL16" i="30"/>
  <c r="AL17" i="30"/>
  <c r="AL14" i="30"/>
  <c r="AL21" i="30"/>
  <c r="AL23" i="30"/>
  <c r="AL20" i="30"/>
  <c r="AL24" i="30"/>
  <c r="AL26" i="30"/>
  <c r="AM13" i="30"/>
  <c r="AM16" i="30"/>
  <c r="AM17" i="30"/>
  <c r="AM14" i="30"/>
  <c r="AM21" i="30"/>
  <c r="AM23" i="30"/>
  <c r="AM20" i="30"/>
  <c r="AM24" i="30"/>
  <c r="AM26" i="30"/>
  <c r="AN13" i="30"/>
  <c r="AN16" i="30"/>
  <c r="AN17" i="30"/>
  <c r="AN14" i="30"/>
  <c r="AN21" i="30"/>
  <c r="AN23" i="30"/>
  <c r="AN20" i="30"/>
  <c r="AN24" i="30"/>
  <c r="AN26" i="30"/>
  <c r="AO13" i="30"/>
  <c r="AO16" i="30"/>
  <c r="AO17" i="30"/>
  <c r="AO14" i="30"/>
  <c r="AO21" i="30"/>
  <c r="AO23" i="30"/>
  <c r="AO20" i="30"/>
  <c r="AO24" i="30"/>
  <c r="AO26" i="30"/>
  <c r="AP13" i="30"/>
  <c r="AP16" i="30"/>
  <c r="AP17" i="30"/>
  <c r="AP14" i="30"/>
  <c r="AP21" i="30"/>
  <c r="AP23" i="30"/>
  <c r="AP20" i="30"/>
  <c r="AP24" i="30"/>
  <c r="AP26" i="30"/>
  <c r="AQ13" i="30"/>
  <c r="AQ16" i="30"/>
  <c r="AQ17" i="30"/>
  <c r="AQ14" i="30"/>
  <c r="AQ21" i="30"/>
  <c r="AQ23" i="30"/>
  <c r="AQ20" i="30"/>
  <c r="AQ24" i="30"/>
  <c r="AQ26" i="30"/>
  <c r="AR13" i="30"/>
  <c r="AR16" i="30"/>
  <c r="AR17" i="30"/>
  <c r="AR14" i="30"/>
  <c r="AR21" i="30"/>
  <c r="AR23" i="30"/>
  <c r="AR20" i="30"/>
  <c r="AR24" i="30"/>
  <c r="AR26" i="30"/>
  <c r="AS13" i="30"/>
  <c r="AS16" i="30"/>
  <c r="AS17" i="30"/>
  <c r="AS14" i="30"/>
  <c r="AS21" i="30"/>
  <c r="AS23" i="30"/>
  <c r="AS20" i="30"/>
  <c r="AS24" i="30"/>
  <c r="AS26" i="30"/>
  <c r="AT13" i="30"/>
  <c r="AT16" i="30"/>
  <c r="AT17" i="30"/>
  <c r="AT14" i="30"/>
  <c r="AT21" i="30"/>
  <c r="AT23" i="30"/>
  <c r="AT20" i="30"/>
  <c r="AT24" i="30"/>
  <c r="AT26" i="30"/>
  <c r="AU13" i="30"/>
  <c r="AU16" i="30"/>
  <c r="AU17" i="30"/>
  <c r="AU14" i="30"/>
  <c r="AU21" i="30"/>
  <c r="AU23" i="30"/>
  <c r="AU20" i="30"/>
  <c r="AU24" i="30"/>
  <c r="AU26" i="30"/>
  <c r="AV13" i="30"/>
  <c r="AV16" i="30"/>
  <c r="AV17" i="30"/>
  <c r="AV14" i="30"/>
  <c r="AV21" i="30"/>
  <c r="AV23" i="30"/>
  <c r="AV20" i="30"/>
  <c r="AV24" i="30"/>
  <c r="AV26" i="30"/>
  <c r="AW13" i="30"/>
  <c r="AW16" i="30"/>
  <c r="AW17" i="30"/>
  <c r="AW14" i="30"/>
  <c r="AW21" i="30"/>
  <c r="AW23" i="30"/>
  <c r="AW20" i="30"/>
  <c r="AW24" i="30"/>
  <c r="AW26" i="30"/>
  <c r="AX13" i="30"/>
  <c r="AX16" i="30"/>
  <c r="AX17" i="30"/>
  <c r="AX14" i="30"/>
  <c r="AX21" i="30"/>
  <c r="AX23" i="30"/>
  <c r="AX20" i="30"/>
  <c r="AX24" i="30"/>
  <c r="AX26" i="30"/>
  <c r="AY13" i="30"/>
  <c r="AY16" i="30"/>
  <c r="AY17" i="30"/>
  <c r="AY14" i="30"/>
  <c r="AY21" i="30"/>
  <c r="AY23" i="30"/>
  <c r="AY20" i="30"/>
  <c r="AY24" i="30"/>
  <c r="AY26" i="30"/>
  <c r="AZ13" i="30"/>
  <c r="AZ16" i="30"/>
  <c r="AZ17" i="30"/>
  <c r="AZ14" i="30"/>
  <c r="AZ21" i="30"/>
  <c r="AZ23" i="30"/>
  <c r="AZ20" i="30"/>
  <c r="AZ24" i="30"/>
  <c r="AZ26" i="30"/>
  <c r="BA13" i="30"/>
  <c r="BA16" i="30"/>
  <c r="BA17" i="30"/>
  <c r="BA14" i="30"/>
  <c r="BA21" i="30"/>
  <c r="BA23" i="30"/>
  <c r="BA20" i="30"/>
  <c r="BA24" i="30"/>
  <c r="BA26" i="30"/>
  <c r="BB13" i="30"/>
  <c r="BB16" i="30"/>
  <c r="BB17" i="30"/>
  <c r="BB14" i="30"/>
  <c r="BB21" i="30"/>
  <c r="BB23" i="30"/>
  <c r="BB20" i="30"/>
  <c r="BB24" i="30"/>
  <c r="BB26" i="30"/>
  <c r="BC13" i="30"/>
  <c r="BC16" i="30"/>
  <c r="BC17" i="30"/>
  <c r="BC14" i="30"/>
  <c r="BC21" i="30"/>
  <c r="BC23" i="30"/>
  <c r="BC20" i="30"/>
  <c r="BC24" i="30"/>
  <c r="BC26" i="30"/>
  <c r="BD13" i="30"/>
  <c r="BD16" i="30"/>
  <c r="BD17" i="30"/>
  <c r="BD14" i="30"/>
  <c r="BD21" i="30"/>
  <c r="BD23" i="30"/>
  <c r="BD20" i="30"/>
  <c r="BD24" i="30"/>
  <c r="BD26" i="30"/>
  <c r="BE13" i="30"/>
  <c r="BE16" i="30"/>
  <c r="BE17" i="30"/>
  <c r="BE14" i="30"/>
  <c r="BE21" i="30"/>
  <c r="BE23" i="30"/>
  <c r="BE20" i="30"/>
  <c r="BE24" i="30"/>
  <c r="BE26" i="30"/>
  <c r="BF13" i="30"/>
  <c r="BF16" i="30"/>
  <c r="BF17" i="30"/>
  <c r="BF14" i="30"/>
  <c r="BF21" i="30"/>
  <c r="BF23" i="30"/>
  <c r="BF20" i="30"/>
  <c r="BF24" i="30"/>
  <c r="BF26" i="30"/>
  <c r="BG13" i="30"/>
  <c r="BG16" i="30"/>
  <c r="BG17" i="30"/>
  <c r="BG14" i="30"/>
  <c r="BG21" i="30"/>
  <c r="BG23" i="30"/>
  <c r="BG20" i="30"/>
  <c r="BG24" i="30"/>
  <c r="BG26" i="30"/>
  <c r="BH13" i="30"/>
  <c r="BH16" i="30"/>
  <c r="BH17" i="30"/>
  <c r="BH14" i="30"/>
  <c r="BH21" i="30"/>
  <c r="BH23" i="30"/>
  <c r="BH20" i="30"/>
  <c r="BH24" i="30"/>
  <c r="BH26" i="30"/>
  <c r="BI9" i="30"/>
  <c r="BI10" i="30"/>
  <c r="BI13" i="30"/>
  <c r="BI16" i="30"/>
  <c r="BI17" i="30"/>
  <c r="BI14" i="30"/>
  <c r="BI21" i="30"/>
  <c r="BI23" i="30"/>
  <c r="BI20" i="30"/>
  <c r="BI24" i="30"/>
  <c r="BI26" i="30"/>
  <c r="B14" i="30"/>
  <c r="B21" i="30"/>
  <c r="B26" i="30"/>
  <c r="BI22" i="30"/>
  <c r="BH22" i="30"/>
  <c r="BG22" i="30"/>
  <c r="BF22" i="30"/>
  <c r="BE22" i="30"/>
  <c r="BD22" i="30"/>
  <c r="BC22" i="30"/>
  <c r="BB22" i="30"/>
  <c r="BA22" i="30"/>
  <c r="AZ22" i="30"/>
  <c r="AY22" i="30"/>
  <c r="AX22" i="30"/>
  <c r="AW22" i="30"/>
  <c r="AV22" i="30"/>
  <c r="AU22" i="30"/>
  <c r="AT22" i="30"/>
  <c r="AS22" i="30"/>
  <c r="AR22" i="30"/>
  <c r="AQ22" i="30"/>
  <c r="AP22" i="30"/>
  <c r="AO22" i="30"/>
  <c r="AN22" i="30"/>
  <c r="AM22" i="30"/>
  <c r="AL22" i="30"/>
  <c r="AK22" i="30"/>
  <c r="AJ22" i="30"/>
  <c r="AI22" i="30"/>
  <c r="AH22" i="30"/>
  <c r="AG22" i="30"/>
  <c r="AF22" i="30"/>
  <c r="AE22" i="30"/>
  <c r="AD22" i="30"/>
  <c r="AC22" i="30"/>
  <c r="AB22" i="30"/>
  <c r="AA22" i="30"/>
  <c r="Z22" i="30"/>
  <c r="Y22" i="30"/>
  <c r="X22" i="30"/>
  <c r="W22" i="30"/>
  <c r="V22" i="30"/>
  <c r="U22" i="30"/>
  <c r="T22" i="30"/>
  <c r="S22" i="30"/>
  <c r="R22" i="30"/>
  <c r="Q22" i="30"/>
  <c r="P22" i="30"/>
  <c r="O22" i="30"/>
  <c r="N22" i="30"/>
  <c r="M22" i="30"/>
  <c r="L22" i="30"/>
  <c r="K22" i="30"/>
  <c r="J22" i="30"/>
  <c r="I22" i="30"/>
  <c r="H22" i="30"/>
  <c r="G22" i="30"/>
  <c r="F22" i="30"/>
  <c r="E22" i="30"/>
  <c r="D22" i="30"/>
  <c r="C22" i="30"/>
  <c r="B22" i="30"/>
  <c r="BI15" i="30"/>
  <c r="BH15" i="30"/>
  <c r="BG15" i="30"/>
  <c r="BF15" i="30"/>
  <c r="BE15" i="30"/>
  <c r="BD15" i="30"/>
  <c r="BC15" i="30"/>
  <c r="BB15" i="30"/>
  <c r="BA15" i="30"/>
  <c r="AZ15" i="30"/>
  <c r="AY15" i="30"/>
  <c r="AX15" i="30"/>
  <c r="AW15" i="30"/>
  <c r="AV15" i="30"/>
  <c r="AU15" i="30"/>
  <c r="AT15" i="30"/>
  <c r="AS15" i="30"/>
  <c r="AR15" i="30"/>
  <c r="AQ15" i="30"/>
  <c r="AP15" i="30"/>
  <c r="AO15" i="30"/>
  <c r="AN15" i="30"/>
  <c r="AM15" i="30"/>
  <c r="AL15" i="30"/>
  <c r="AK15" i="30"/>
  <c r="AJ15" i="30"/>
  <c r="AI15" i="30"/>
  <c r="AH15" i="30"/>
  <c r="AG15" i="30"/>
  <c r="AF15" i="30"/>
  <c r="AE15" i="30"/>
  <c r="AD15" i="30"/>
  <c r="AC15" i="30"/>
  <c r="AB15" i="30"/>
  <c r="AA15" i="30"/>
  <c r="Z15" i="30"/>
  <c r="Y15" i="30"/>
  <c r="X15" i="30"/>
  <c r="W15" i="30"/>
  <c r="V15" i="30"/>
  <c r="U15" i="30"/>
  <c r="T15" i="30"/>
  <c r="S15" i="30"/>
  <c r="R15" i="30"/>
  <c r="Q15" i="30"/>
  <c r="P15" i="30"/>
  <c r="O15" i="30"/>
  <c r="N15" i="30"/>
  <c r="M15" i="30"/>
  <c r="L15" i="30"/>
  <c r="K15" i="30"/>
  <c r="J15" i="30"/>
  <c r="I15" i="30"/>
  <c r="H15" i="30"/>
  <c r="G15" i="30"/>
  <c r="F15" i="30"/>
  <c r="E15" i="30"/>
  <c r="D15" i="30"/>
  <c r="C15" i="30"/>
  <c r="B15" i="30"/>
  <c r="N18" i="6"/>
  <c r="C13" i="15"/>
  <c r="N22" i="6"/>
  <c r="C17" i="15"/>
  <c r="N23" i="6"/>
  <c r="C18" i="15"/>
  <c r="N24" i="6"/>
  <c r="C19" i="15"/>
  <c r="N25" i="6"/>
  <c r="C20" i="15"/>
  <c r="N26" i="6"/>
  <c r="C21" i="15"/>
  <c r="N27" i="6"/>
  <c r="C22" i="15"/>
  <c r="N28" i="6"/>
  <c r="C23" i="15"/>
  <c r="N19" i="6"/>
  <c r="C14" i="15"/>
  <c r="N20" i="6"/>
  <c r="C15" i="15"/>
  <c r="N21" i="6"/>
  <c r="C16" i="15"/>
  <c r="N30" i="6"/>
  <c r="C25" i="15"/>
  <c r="N31" i="6"/>
  <c r="C26" i="15"/>
  <c r="C27" i="15"/>
  <c r="N18" i="7"/>
  <c r="D13" i="15"/>
  <c r="N22" i="7"/>
  <c r="D17" i="15"/>
  <c r="N23" i="7"/>
  <c r="D18" i="15"/>
  <c r="N24" i="7"/>
  <c r="D19" i="15"/>
  <c r="N25" i="7"/>
  <c r="D20" i="15"/>
  <c r="N26" i="7"/>
  <c r="D21" i="15"/>
  <c r="N27" i="7"/>
  <c r="D22" i="15"/>
  <c r="N28" i="7"/>
  <c r="D23" i="15"/>
  <c r="N19" i="7"/>
  <c r="D14" i="15"/>
  <c r="N20" i="7"/>
  <c r="D15" i="15"/>
  <c r="N21" i="7"/>
  <c r="D16" i="15"/>
  <c r="N30" i="7"/>
  <c r="D25" i="15"/>
  <c r="N31" i="7"/>
  <c r="D26" i="15"/>
  <c r="D27" i="15"/>
  <c r="N18" i="21"/>
  <c r="E13" i="15"/>
  <c r="N22" i="21"/>
  <c r="E17" i="15"/>
  <c r="N23" i="21"/>
  <c r="E18" i="15"/>
  <c r="N24" i="21"/>
  <c r="E19" i="15"/>
  <c r="N25" i="21"/>
  <c r="E20" i="15"/>
  <c r="N26" i="21"/>
  <c r="E21" i="15"/>
  <c r="N27" i="21"/>
  <c r="E22" i="15"/>
  <c r="N28" i="21"/>
  <c r="E23" i="15"/>
  <c r="N19" i="21"/>
  <c r="E14" i="15"/>
  <c r="N20" i="21"/>
  <c r="E15" i="15"/>
  <c r="N21" i="21"/>
  <c r="E16" i="15"/>
  <c r="N30" i="21"/>
  <c r="E25" i="15"/>
  <c r="N31" i="21"/>
  <c r="E26" i="15"/>
  <c r="E27" i="15"/>
  <c r="N18" i="22"/>
  <c r="F13" i="15"/>
  <c r="N22" i="22"/>
  <c r="F17" i="15"/>
  <c r="N23" i="22"/>
  <c r="F18" i="15"/>
  <c r="N24" i="22"/>
  <c r="F19" i="15"/>
  <c r="N25" i="22"/>
  <c r="F20" i="15"/>
  <c r="N26" i="22"/>
  <c r="F21" i="15"/>
  <c r="N27" i="22"/>
  <c r="F22" i="15"/>
  <c r="N28" i="22"/>
  <c r="F23" i="15"/>
  <c r="N19" i="22"/>
  <c r="F14" i="15"/>
  <c r="N20" i="22"/>
  <c r="F15" i="15"/>
  <c r="N21" i="22"/>
  <c r="F16" i="15"/>
  <c r="N30" i="22"/>
  <c r="F25" i="15"/>
  <c r="N31" i="22"/>
  <c r="F26" i="15"/>
  <c r="F27" i="15"/>
  <c r="N18" i="5"/>
  <c r="B13" i="15"/>
  <c r="N22" i="5"/>
  <c r="B17" i="15"/>
  <c r="N23" i="5"/>
  <c r="B18" i="15"/>
  <c r="N24" i="5"/>
  <c r="B19" i="15"/>
  <c r="N25" i="5"/>
  <c r="B20" i="15"/>
  <c r="N26" i="5"/>
  <c r="B21" i="15"/>
  <c r="N27" i="5"/>
  <c r="B22" i="15"/>
  <c r="N28" i="5"/>
  <c r="B23" i="15"/>
  <c r="N19" i="5"/>
  <c r="B14" i="15"/>
  <c r="N20" i="5"/>
  <c r="B15" i="15"/>
  <c r="N21" i="5"/>
  <c r="B16" i="15"/>
  <c r="N30" i="5"/>
  <c r="B25" i="15"/>
  <c r="N31" i="5"/>
  <c r="B26" i="15"/>
  <c r="B27" i="15"/>
  <c r="B24" i="15"/>
  <c r="C24" i="15"/>
  <c r="D24" i="15"/>
  <c r="E24" i="15"/>
  <c r="F24" i="15"/>
  <c r="A26" i="15"/>
  <c r="A24" i="15"/>
  <c r="A25" i="15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65" i="1"/>
  <c r="F4" i="29"/>
  <c r="G4" i="29"/>
  <c r="H4" i="29"/>
  <c r="I4" i="29"/>
  <c r="J4" i="29"/>
  <c r="K4" i="29"/>
  <c r="L4" i="29"/>
  <c r="M4" i="29"/>
  <c r="N4" i="29"/>
  <c r="O4" i="29"/>
  <c r="P4" i="29"/>
  <c r="Q4" i="29"/>
  <c r="R4" i="29"/>
  <c r="S4" i="29"/>
  <c r="T4" i="29"/>
  <c r="U4" i="29"/>
  <c r="V4" i="29"/>
  <c r="W4" i="29"/>
  <c r="X4" i="29"/>
  <c r="Y4" i="29"/>
  <c r="Z4" i="29"/>
  <c r="AA4" i="29"/>
  <c r="AB4" i="29"/>
  <c r="AC4" i="29"/>
  <c r="AD4" i="29"/>
  <c r="AE4" i="29"/>
  <c r="AF4" i="29"/>
  <c r="AG4" i="29"/>
  <c r="AH4" i="29"/>
  <c r="AI4" i="29"/>
  <c r="AJ4" i="29"/>
  <c r="AK4" i="29"/>
  <c r="AL4" i="29"/>
  <c r="AM4" i="29"/>
  <c r="AN4" i="29"/>
  <c r="AO4" i="29"/>
  <c r="AP4" i="29"/>
  <c r="AQ4" i="29"/>
  <c r="AR4" i="29"/>
  <c r="AS4" i="29"/>
  <c r="AT4" i="29"/>
  <c r="AU4" i="29"/>
  <c r="AV4" i="29"/>
  <c r="AW4" i="29"/>
  <c r="AX4" i="29"/>
  <c r="C6" i="29"/>
  <c r="D6" i="29"/>
  <c r="E6" i="29"/>
  <c r="F6" i="29"/>
  <c r="G6" i="29"/>
  <c r="H6" i="29"/>
  <c r="I6" i="29"/>
  <c r="J6" i="29"/>
  <c r="K6" i="29"/>
  <c r="L6" i="29"/>
  <c r="M6" i="29"/>
  <c r="N6" i="29"/>
  <c r="O6" i="29"/>
  <c r="P6" i="29"/>
  <c r="Q6" i="29"/>
  <c r="R6" i="29"/>
  <c r="S6" i="29"/>
  <c r="T6" i="29"/>
  <c r="U6" i="29"/>
  <c r="V6" i="29"/>
  <c r="W6" i="29"/>
  <c r="X6" i="29"/>
  <c r="Y6" i="29"/>
  <c r="Z6" i="29"/>
  <c r="AA6" i="29"/>
  <c r="AB6" i="29"/>
  <c r="AC6" i="29"/>
  <c r="AD6" i="29"/>
  <c r="AE6" i="29"/>
  <c r="AF6" i="29"/>
  <c r="AG6" i="29"/>
  <c r="AH6" i="29"/>
  <c r="AI6" i="29"/>
  <c r="AJ6" i="29"/>
  <c r="AK6" i="29"/>
  <c r="AL6" i="29"/>
  <c r="AM6" i="29"/>
  <c r="AN6" i="29"/>
  <c r="AO6" i="29"/>
  <c r="AP6" i="29"/>
  <c r="AQ6" i="29"/>
  <c r="AR6" i="29"/>
  <c r="AS6" i="29"/>
  <c r="AT6" i="29"/>
  <c r="AU6" i="29"/>
  <c r="AV6" i="29"/>
  <c r="AW6" i="29"/>
  <c r="AX6" i="29"/>
  <c r="AX8" i="29"/>
  <c r="C9" i="29"/>
  <c r="D9" i="29"/>
  <c r="E9" i="29"/>
  <c r="F9" i="29"/>
  <c r="G9" i="29"/>
  <c r="H9" i="29"/>
  <c r="I9" i="29"/>
  <c r="J9" i="29"/>
  <c r="K9" i="29"/>
  <c r="L9" i="29"/>
  <c r="M9" i="29"/>
  <c r="N9" i="29"/>
  <c r="O9" i="29"/>
  <c r="P9" i="29"/>
  <c r="Q9" i="29"/>
  <c r="R9" i="29"/>
  <c r="S9" i="29"/>
  <c r="T9" i="29"/>
  <c r="U9" i="29"/>
  <c r="V9" i="29"/>
  <c r="W9" i="29"/>
  <c r="X9" i="29"/>
  <c r="Y9" i="29"/>
  <c r="Z9" i="29"/>
  <c r="AA9" i="29"/>
  <c r="AB9" i="29"/>
  <c r="AC9" i="29"/>
  <c r="AD9" i="29"/>
  <c r="AE9" i="29"/>
  <c r="AF9" i="29"/>
  <c r="AG9" i="29"/>
  <c r="AH9" i="29"/>
  <c r="AI9" i="29"/>
  <c r="AJ9" i="29"/>
  <c r="AK9" i="29"/>
  <c r="AL9" i="29"/>
  <c r="AM9" i="29"/>
  <c r="AN9" i="29"/>
  <c r="AO9" i="29"/>
  <c r="AP9" i="29"/>
  <c r="AQ9" i="29"/>
  <c r="AR9" i="29"/>
  <c r="AS9" i="29"/>
  <c r="AT9" i="29"/>
  <c r="AU9" i="29"/>
  <c r="AV9" i="29"/>
  <c r="AW9" i="29"/>
  <c r="AX9" i="29"/>
  <c r="F11" i="29"/>
  <c r="G11" i="29"/>
  <c r="H11" i="29"/>
  <c r="I11" i="29"/>
  <c r="J11" i="29"/>
  <c r="K11" i="29"/>
  <c r="L11" i="29"/>
  <c r="M11" i="29"/>
  <c r="N11" i="29"/>
  <c r="O11" i="29"/>
  <c r="P11" i="29"/>
  <c r="Q11" i="29"/>
  <c r="R11" i="29"/>
  <c r="S11" i="29"/>
  <c r="T11" i="29"/>
  <c r="U11" i="29"/>
  <c r="V11" i="29"/>
  <c r="W11" i="29"/>
  <c r="X11" i="29"/>
  <c r="Y11" i="29"/>
  <c r="Z11" i="29"/>
  <c r="AA11" i="29"/>
  <c r="AB11" i="29"/>
  <c r="AC11" i="29"/>
  <c r="AD11" i="29"/>
  <c r="AE11" i="29"/>
  <c r="AF11" i="29"/>
  <c r="AG11" i="29"/>
  <c r="AH11" i="29"/>
  <c r="AI11" i="29"/>
  <c r="AJ11" i="29"/>
  <c r="AK11" i="29"/>
  <c r="AL11" i="29"/>
  <c r="AM11" i="29"/>
  <c r="AN11" i="29"/>
  <c r="AO11" i="29"/>
  <c r="AP11" i="29"/>
  <c r="AQ11" i="29"/>
  <c r="AR11" i="29"/>
  <c r="AS11" i="29"/>
  <c r="AT11" i="29"/>
  <c r="AU11" i="29"/>
  <c r="AV11" i="29"/>
  <c r="AW11" i="29"/>
  <c r="AX11" i="29"/>
  <c r="F13" i="29"/>
  <c r="G13" i="29"/>
  <c r="H13" i="29"/>
  <c r="I13" i="29"/>
  <c r="J13" i="29"/>
  <c r="K13" i="29"/>
  <c r="L13" i="29"/>
  <c r="M13" i="29"/>
  <c r="N13" i="29"/>
  <c r="O13" i="29"/>
  <c r="P13" i="29"/>
  <c r="Q13" i="29"/>
  <c r="R13" i="29"/>
  <c r="S13" i="29"/>
  <c r="T13" i="29"/>
  <c r="U13" i="29"/>
  <c r="V13" i="29"/>
  <c r="W13" i="29"/>
  <c r="X13" i="29"/>
  <c r="Y13" i="29"/>
  <c r="Z13" i="29"/>
  <c r="AA13" i="29"/>
  <c r="AB13" i="29"/>
  <c r="AC13" i="29"/>
  <c r="AD13" i="29"/>
  <c r="AE13" i="29"/>
  <c r="AF13" i="29"/>
  <c r="AG13" i="29"/>
  <c r="AH13" i="29"/>
  <c r="AI13" i="29"/>
  <c r="AJ13" i="29"/>
  <c r="AK13" i="29"/>
  <c r="AL13" i="29"/>
  <c r="AM13" i="29"/>
  <c r="AN13" i="29"/>
  <c r="AO13" i="29"/>
  <c r="AP13" i="29"/>
  <c r="AQ13" i="29"/>
  <c r="AR13" i="29"/>
  <c r="AS13" i="29"/>
  <c r="AT13" i="29"/>
  <c r="AU13" i="29"/>
  <c r="AV13" i="29"/>
  <c r="AW13" i="29"/>
  <c r="AX13" i="29"/>
  <c r="F15" i="29"/>
  <c r="G15" i="29"/>
  <c r="H15" i="29"/>
  <c r="I15" i="29"/>
  <c r="J15" i="29"/>
  <c r="K15" i="29"/>
  <c r="L15" i="29"/>
  <c r="M15" i="29"/>
  <c r="N15" i="29"/>
  <c r="O15" i="29"/>
  <c r="P15" i="29"/>
  <c r="Q15" i="29"/>
  <c r="R15" i="29"/>
  <c r="S15" i="29"/>
  <c r="T15" i="29"/>
  <c r="U15" i="29"/>
  <c r="V15" i="29"/>
  <c r="W15" i="29"/>
  <c r="X15" i="29"/>
  <c r="Y15" i="29"/>
  <c r="Z15" i="29"/>
  <c r="AA15" i="29"/>
  <c r="AB15" i="29"/>
  <c r="AC15" i="29"/>
  <c r="AD15" i="29"/>
  <c r="AE15" i="29"/>
  <c r="AF15" i="29"/>
  <c r="AG15" i="29"/>
  <c r="AH15" i="29"/>
  <c r="AI15" i="29"/>
  <c r="AJ15" i="29"/>
  <c r="AK15" i="29"/>
  <c r="AL15" i="29"/>
  <c r="AM15" i="29"/>
  <c r="AN15" i="29"/>
  <c r="AO15" i="29"/>
  <c r="AP15" i="29"/>
  <c r="AQ15" i="29"/>
  <c r="AR15" i="29"/>
  <c r="AS15" i="29"/>
  <c r="AT15" i="29"/>
  <c r="AU15" i="29"/>
  <c r="AV15" i="29"/>
  <c r="AW15" i="29"/>
  <c r="AX15" i="29"/>
  <c r="AX17" i="29"/>
  <c r="F18" i="29"/>
  <c r="G18" i="29"/>
  <c r="H18" i="29"/>
  <c r="I18" i="29"/>
  <c r="J18" i="29"/>
  <c r="K18" i="29"/>
  <c r="L18" i="29"/>
  <c r="M18" i="29"/>
  <c r="N18" i="29"/>
  <c r="O18" i="29"/>
  <c r="P18" i="29"/>
  <c r="Q18" i="29"/>
  <c r="R18" i="29"/>
  <c r="S18" i="29"/>
  <c r="T18" i="29"/>
  <c r="U18" i="29"/>
  <c r="V18" i="29"/>
  <c r="W18" i="29"/>
  <c r="X18" i="29"/>
  <c r="Y18" i="29"/>
  <c r="Z18" i="29"/>
  <c r="AA18" i="29"/>
  <c r="AB18" i="29"/>
  <c r="AC18" i="29"/>
  <c r="AD18" i="29"/>
  <c r="AE18" i="29"/>
  <c r="AF18" i="29"/>
  <c r="AG18" i="29"/>
  <c r="AH18" i="29"/>
  <c r="AI18" i="29"/>
  <c r="AJ18" i="29"/>
  <c r="AK18" i="29"/>
  <c r="AL18" i="29"/>
  <c r="AM18" i="29"/>
  <c r="AN18" i="29"/>
  <c r="AO18" i="29"/>
  <c r="AP18" i="29"/>
  <c r="AQ18" i="29"/>
  <c r="AR18" i="29"/>
  <c r="AS18" i="29"/>
  <c r="AT18" i="29"/>
  <c r="AU18" i="29"/>
  <c r="AV18" i="29"/>
  <c r="AW18" i="29"/>
  <c r="AX18" i="29"/>
  <c r="AX20" i="29"/>
  <c r="C25" i="29"/>
  <c r="D25" i="29"/>
  <c r="E25" i="29"/>
  <c r="F25" i="29"/>
  <c r="G25" i="29"/>
  <c r="H25" i="29"/>
  <c r="I25" i="29"/>
  <c r="J25" i="29"/>
  <c r="K25" i="29"/>
  <c r="L25" i="29"/>
  <c r="M25" i="29"/>
  <c r="N25" i="29"/>
  <c r="O25" i="29"/>
  <c r="P25" i="29"/>
  <c r="Q25" i="29"/>
  <c r="R25" i="29"/>
  <c r="S25" i="29"/>
  <c r="T25" i="29"/>
  <c r="U25" i="29"/>
  <c r="V25" i="29"/>
  <c r="W25" i="29"/>
  <c r="X25" i="29"/>
  <c r="Y25" i="29"/>
  <c r="Z25" i="29"/>
  <c r="AA25" i="29"/>
  <c r="AB25" i="29"/>
  <c r="AC25" i="29"/>
  <c r="AD25" i="29"/>
  <c r="AE25" i="29"/>
  <c r="AF25" i="29"/>
  <c r="AG25" i="29"/>
  <c r="AH25" i="29"/>
  <c r="AI25" i="29"/>
  <c r="AJ25" i="29"/>
  <c r="AK25" i="29"/>
  <c r="AL25" i="29"/>
  <c r="AM25" i="29"/>
  <c r="AN25" i="29"/>
  <c r="AO25" i="29"/>
  <c r="AP25" i="29"/>
  <c r="AQ25" i="29"/>
  <c r="AR25" i="29"/>
  <c r="AS25" i="29"/>
  <c r="AT25" i="29"/>
  <c r="AU25" i="29"/>
  <c r="AV25" i="29"/>
  <c r="AW25" i="29"/>
  <c r="AX25" i="29"/>
  <c r="C30" i="29"/>
  <c r="D30" i="29"/>
  <c r="E30" i="29"/>
  <c r="F30" i="29"/>
  <c r="G30" i="29"/>
  <c r="H30" i="29"/>
  <c r="I30" i="29"/>
  <c r="J30" i="29"/>
  <c r="K30" i="29"/>
  <c r="L30" i="29"/>
  <c r="M30" i="29"/>
  <c r="N30" i="29"/>
  <c r="O30" i="29"/>
  <c r="P30" i="29"/>
  <c r="Q30" i="29"/>
  <c r="R30" i="29"/>
  <c r="S30" i="29"/>
  <c r="T30" i="29"/>
  <c r="U30" i="29"/>
  <c r="V30" i="29"/>
  <c r="W30" i="29"/>
  <c r="X30" i="29"/>
  <c r="Y30" i="29"/>
  <c r="Z30" i="29"/>
  <c r="AA30" i="29"/>
  <c r="AB30" i="29"/>
  <c r="AC30" i="29"/>
  <c r="AD30" i="29"/>
  <c r="AE30" i="29"/>
  <c r="AF30" i="29"/>
  <c r="AG30" i="29"/>
  <c r="AH30" i="29"/>
  <c r="AI30" i="29"/>
  <c r="AJ30" i="29"/>
  <c r="AK30" i="29"/>
  <c r="AL30" i="29"/>
  <c r="AM30" i="29"/>
  <c r="AN30" i="29"/>
  <c r="AO30" i="29"/>
  <c r="AP30" i="29"/>
  <c r="AQ30" i="29"/>
  <c r="AR30" i="29"/>
  <c r="AS30" i="29"/>
  <c r="AT30" i="29"/>
  <c r="AU30" i="29"/>
  <c r="AV30" i="29"/>
  <c r="AW30" i="29"/>
  <c r="AX30" i="29"/>
  <c r="AX21" i="29"/>
  <c r="AX22" i="29"/>
  <c r="AX27" i="29"/>
  <c r="AX32" i="29"/>
  <c r="B8" i="29"/>
  <c r="B17" i="29"/>
  <c r="B20" i="29"/>
  <c r="B37" i="29"/>
  <c r="C4" i="29"/>
  <c r="C8" i="29"/>
  <c r="C11" i="29"/>
  <c r="C13" i="29"/>
  <c r="C15" i="29"/>
  <c r="C17" i="29"/>
  <c r="C18" i="29"/>
  <c r="C20" i="29"/>
  <c r="C37" i="29"/>
  <c r="D4" i="29"/>
  <c r="D8" i="29"/>
  <c r="D11" i="29"/>
  <c r="D13" i="29"/>
  <c r="D15" i="29"/>
  <c r="D17" i="29"/>
  <c r="D18" i="29"/>
  <c r="D20" i="29"/>
  <c r="D37" i="29"/>
  <c r="E8" i="29"/>
  <c r="E17" i="29"/>
  <c r="E20" i="29"/>
  <c r="E37" i="29"/>
  <c r="F8" i="29"/>
  <c r="F17" i="29"/>
  <c r="F20" i="29"/>
  <c r="F37" i="29"/>
  <c r="G8" i="29"/>
  <c r="G17" i="29"/>
  <c r="G20" i="29"/>
  <c r="G37" i="29"/>
  <c r="H8" i="29"/>
  <c r="H17" i="29"/>
  <c r="H20" i="29"/>
  <c r="H37" i="29"/>
  <c r="I8" i="29"/>
  <c r="I17" i="29"/>
  <c r="I20" i="29"/>
  <c r="I37" i="29"/>
  <c r="J8" i="29"/>
  <c r="J17" i="29"/>
  <c r="J20" i="29"/>
  <c r="J37" i="29"/>
  <c r="K8" i="29"/>
  <c r="K17" i="29"/>
  <c r="K20" i="29"/>
  <c r="K37" i="29"/>
  <c r="L8" i="29"/>
  <c r="L17" i="29"/>
  <c r="L20" i="29"/>
  <c r="L37" i="29"/>
  <c r="M8" i="29"/>
  <c r="M17" i="29"/>
  <c r="M20" i="29"/>
  <c r="M37" i="29"/>
  <c r="N8" i="29"/>
  <c r="N17" i="29"/>
  <c r="N20" i="29"/>
  <c r="N37" i="29"/>
  <c r="O8" i="29"/>
  <c r="O17" i="29"/>
  <c r="O20" i="29"/>
  <c r="O37" i="29"/>
  <c r="P8" i="29"/>
  <c r="P17" i="29"/>
  <c r="P20" i="29"/>
  <c r="P37" i="29"/>
  <c r="Q8" i="29"/>
  <c r="Q17" i="29"/>
  <c r="Q20" i="29"/>
  <c r="Q37" i="29"/>
  <c r="R8" i="29"/>
  <c r="R17" i="29"/>
  <c r="R20" i="29"/>
  <c r="R37" i="29"/>
  <c r="S8" i="29"/>
  <c r="S17" i="29"/>
  <c r="S20" i="29"/>
  <c r="S37" i="29"/>
  <c r="T8" i="29"/>
  <c r="T17" i="29"/>
  <c r="T20" i="29"/>
  <c r="T37" i="29"/>
  <c r="U8" i="29"/>
  <c r="U17" i="29"/>
  <c r="U20" i="29"/>
  <c r="U37" i="29"/>
  <c r="V8" i="29"/>
  <c r="V17" i="29"/>
  <c r="V20" i="29"/>
  <c r="V37" i="29"/>
  <c r="W8" i="29"/>
  <c r="W17" i="29"/>
  <c r="W20" i="29"/>
  <c r="W37" i="29"/>
  <c r="X8" i="29"/>
  <c r="X17" i="29"/>
  <c r="X20" i="29"/>
  <c r="X37" i="29"/>
  <c r="Y8" i="29"/>
  <c r="Y17" i="29"/>
  <c r="Y20" i="29"/>
  <c r="Y37" i="29"/>
  <c r="Z8" i="29"/>
  <c r="Z17" i="29"/>
  <c r="Z20" i="29"/>
  <c r="Z37" i="29"/>
  <c r="AA8" i="29"/>
  <c r="AA17" i="29"/>
  <c r="AA20" i="29"/>
  <c r="AA37" i="29"/>
  <c r="AB8" i="29"/>
  <c r="AB17" i="29"/>
  <c r="AB20" i="29"/>
  <c r="AB37" i="29"/>
  <c r="AC8" i="29"/>
  <c r="AC17" i="29"/>
  <c r="AC20" i="29"/>
  <c r="AC37" i="29"/>
  <c r="AD8" i="29"/>
  <c r="AD17" i="29"/>
  <c r="AD20" i="29"/>
  <c r="AD37" i="29"/>
  <c r="AE8" i="29"/>
  <c r="AE17" i="29"/>
  <c r="AE20" i="29"/>
  <c r="AE37" i="29"/>
  <c r="AF8" i="29"/>
  <c r="AF17" i="29"/>
  <c r="AF20" i="29"/>
  <c r="AF37" i="29"/>
  <c r="AG8" i="29"/>
  <c r="AG17" i="29"/>
  <c r="AG20" i="29"/>
  <c r="AG37" i="29"/>
  <c r="AH8" i="29"/>
  <c r="AH17" i="29"/>
  <c r="AH20" i="29"/>
  <c r="AH37" i="29"/>
  <c r="AI8" i="29"/>
  <c r="AI17" i="29"/>
  <c r="AI20" i="29"/>
  <c r="AI37" i="29"/>
  <c r="AJ8" i="29"/>
  <c r="AJ17" i="29"/>
  <c r="AJ20" i="29"/>
  <c r="AJ37" i="29"/>
  <c r="AK8" i="29"/>
  <c r="AK17" i="29"/>
  <c r="AK20" i="29"/>
  <c r="AK37" i="29"/>
  <c r="AL8" i="29"/>
  <c r="AL17" i="29"/>
  <c r="AL20" i="29"/>
  <c r="AL37" i="29"/>
  <c r="AM8" i="29"/>
  <c r="AM17" i="29"/>
  <c r="AM20" i="29"/>
  <c r="AM37" i="29"/>
  <c r="AN8" i="29"/>
  <c r="AN17" i="29"/>
  <c r="AN20" i="29"/>
  <c r="AN37" i="29"/>
  <c r="AO8" i="29"/>
  <c r="AO17" i="29"/>
  <c r="AO20" i="29"/>
  <c r="AO37" i="29"/>
  <c r="AP8" i="29"/>
  <c r="AP17" i="29"/>
  <c r="AP20" i="29"/>
  <c r="AP37" i="29"/>
  <c r="AQ8" i="29"/>
  <c r="AQ17" i="29"/>
  <c r="AQ20" i="29"/>
  <c r="AQ37" i="29"/>
  <c r="AR8" i="29"/>
  <c r="AR17" i="29"/>
  <c r="AR20" i="29"/>
  <c r="AR37" i="29"/>
  <c r="AS8" i="29"/>
  <c r="AS17" i="29"/>
  <c r="AS20" i="29"/>
  <c r="AS37" i="29"/>
  <c r="AT8" i="29"/>
  <c r="AT17" i="29"/>
  <c r="AT20" i="29"/>
  <c r="AT37" i="29"/>
  <c r="AU8" i="29"/>
  <c r="AU17" i="29"/>
  <c r="AU20" i="29"/>
  <c r="AU37" i="29"/>
  <c r="AV8" i="29"/>
  <c r="AV17" i="29"/>
  <c r="AV20" i="29"/>
  <c r="AV37" i="29"/>
  <c r="AW8" i="29"/>
  <c r="AW17" i="29"/>
  <c r="AW20" i="29"/>
  <c r="AW37" i="29"/>
  <c r="AX37" i="29"/>
  <c r="AX40" i="29"/>
  <c r="C41" i="29"/>
  <c r="D41" i="29"/>
  <c r="E41" i="29"/>
  <c r="F41" i="29"/>
  <c r="G41" i="29"/>
  <c r="H41" i="29"/>
  <c r="I41" i="29"/>
  <c r="J41" i="29"/>
  <c r="K41" i="29"/>
  <c r="L41" i="29"/>
  <c r="M41" i="29"/>
  <c r="N41" i="29"/>
  <c r="O41" i="29"/>
  <c r="P41" i="29"/>
  <c r="Q41" i="29"/>
  <c r="R41" i="29"/>
  <c r="S41" i="29"/>
  <c r="T41" i="29"/>
  <c r="U41" i="29"/>
  <c r="V41" i="29"/>
  <c r="W41" i="29"/>
  <c r="X41" i="29"/>
  <c r="Y41" i="29"/>
  <c r="Z41" i="29"/>
  <c r="AA41" i="29"/>
  <c r="AB41" i="29"/>
  <c r="AC41" i="29"/>
  <c r="AD41" i="29"/>
  <c r="AE41" i="29"/>
  <c r="AF41" i="29"/>
  <c r="AG41" i="29"/>
  <c r="AH41" i="29"/>
  <c r="AI41" i="29"/>
  <c r="AJ41" i="29"/>
  <c r="AK41" i="29"/>
  <c r="AL41" i="29"/>
  <c r="AM41" i="29"/>
  <c r="AN41" i="29"/>
  <c r="AO41" i="29"/>
  <c r="AP41" i="29"/>
  <c r="AQ41" i="29"/>
  <c r="AR41" i="29"/>
  <c r="AS41" i="29"/>
  <c r="AT41" i="29"/>
  <c r="AU41" i="29"/>
  <c r="AV41" i="29"/>
  <c r="AW41" i="29"/>
  <c r="AX41" i="29"/>
  <c r="AX43" i="29"/>
  <c r="C45" i="29"/>
  <c r="D45" i="29"/>
  <c r="E45" i="29"/>
  <c r="F45" i="29"/>
  <c r="G45" i="29"/>
  <c r="H45" i="29"/>
  <c r="I45" i="29"/>
  <c r="J45" i="29"/>
  <c r="K45" i="29"/>
  <c r="L45" i="29"/>
  <c r="M45" i="29"/>
  <c r="N45" i="29"/>
  <c r="O45" i="29"/>
  <c r="P45" i="29"/>
  <c r="Q45" i="29"/>
  <c r="R45" i="29"/>
  <c r="S45" i="29"/>
  <c r="T45" i="29"/>
  <c r="U45" i="29"/>
  <c r="V45" i="29"/>
  <c r="W45" i="29"/>
  <c r="X45" i="29"/>
  <c r="Y45" i="29"/>
  <c r="Z45" i="29"/>
  <c r="AA45" i="29"/>
  <c r="AB45" i="29"/>
  <c r="AC45" i="29"/>
  <c r="AD45" i="29"/>
  <c r="AE45" i="29"/>
  <c r="AF45" i="29"/>
  <c r="AG45" i="29"/>
  <c r="AH45" i="29"/>
  <c r="AI45" i="29"/>
  <c r="AJ45" i="29"/>
  <c r="AK45" i="29"/>
  <c r="AL45" i="29"/>
  <c r="AM45" i="29"/>
  <c r="AN45" i="29"/>
  <c r="AO45" i="29"/>
  <c r="AP45" i="29"/>
  <c r="AQ45" i="29"/>
  <c r="AR45" i="29"/>
  <c r="AS45" i="29"/>
  <c r="AT45" i="29"/>
  <c r="AU45" i="29"/>
  <c r="AV45" i="29"/>
  <c r="AW45" i="29"/>
  <c r="AX45" i="29"/>
  <c r="AX47" i="29"/>
  <c r="C50" i="29"/>
  <c r="D50" i="29"/>
  <c r="E50" i="29"/>
  <c r="F50" i="29"/>
  <c r="G50" i="29"/>
  <c r="H50" i="29"/>
  <c r="I50" i="29"/>
  <c r="J50" i="29"/>
  <c r="K50" i="29"/>
  <c r="L50" i="29"/>
  <c r="M50" i="29"/>
  <c r="N50" i="29"/>
  <c r="O50" i="29"/>
  <c r="P50" i="29"/>
  <c r="Q50" i="29"/>
  <c r="R50" i="29"/>
  <c r="S50" i="29"/>
  <c r="T50" i="29"/>
  <c r="U50" i="29"/>
  <c r="V50" i="29"/>
  <c r="W50" i="29"/>
  <c r="X50" i="29"/>
  <c r="Y50" i="29"/>
  <c r="Z50" i="29"/>
  <c r="AA50" i="29"/>
  <c r="AB50" i="29"/>
  <c r="AC50" i="29"/>
  <c r="AD50" i="29"/>
  <c r="AE50" i="29"/>
  <c r="AF50" i="29"/>
  <c r="AG50" i="29"/>
  <c r="AH50" i="29"/>
  <c r="AI50" i="29"/>
  <c r="AJ50" i="29"/>
  <c r="AK50" i="29"/>
  <c r="AL50" i="29"/>
  <c r="AM50" i="29"/>
  <c r="AN50" i="29"/>
  <c r="AO50" i="29"/>
  <c r="AP50" i="29"/>
  <c r="AQ50" i="29"/>
  <c r="AR50" i="29"/>
  <c r="AS50" i="29"/>
  <c r="AT50" i="29"/>
  <c r="AU50" i="29"/>
  <c r="AV50" i="29"/>
  <c r="AW50" i="29"/>
  <c r="AX50" i="29"/>
  <c r="AX52" i="29"/>
  <c r="C53" i="29"/>
  <c r="D53" i="29"/>
  <c r="E53" i="29"/>
  <c r="F53" i="29"/>
  <c r="G53" i="29"/>
  <c r="H53" i="29"/>
  <c r="I53" i="29"/>
  <c r="J53" i="29"/>
  <c r="K53" i="29"/>
  <c r="L53" i="29"/>
  <c r="M53" i="29"/>
  <c r="N53" i="29"/>
  <c r="O53" i="29"/>
  <c r="P53" i="29"/>
  <c r="Q53" i="29"/>
  <c r="R53" i="29"/>
  <c r="S53" i="29"/>
  <c r="T53" i="29"/>
  <c r="U53" i="29"/>
  <c r="V53" i="29"/>
  <c r="W53" i="29"/>
  <c r="X53" i="29"/>
  <c r="Y53" i="29"/>
  <c r="Z53" i="29"/>
  <c r="AA53" i="29"/>
  <c r="AB53" i="29"/>
  <c r="AC53" i="29"/>
  <c r="AD53" i="29"/>
  <c r="AE53" i="29"/>
  <c r="AF53" i="29"/>
  <c r="AG53" i="29"/>
  <c r="AH53" i="29"/>
  <c r="AI53" i="29"/>
  <c r="AJ53" i="29"/>
  <c r="AK53" i="29"/>
  <c r="AL53" i="29"/>
  <c r="AM53" i="29"/>
  <c r="AN53" i="29"/>
  <c r="AO53" i="29"/>
  <c r="AP53" i="29"/>
  <c r="AQ53" i="29"/>
  <c r="AR53" i="29"/>
  <c r="AS53" i="29"/>
  <c r="AT53" i="29"/>
  <c r="AU53" i="29"/>
  <c r="AV53" i="29"/>
  <c r="AW53" i="29"/>
  <c r="AX53" i="29"/>
  <c r="AX55" i="29"/>
  <c r="C57" i="29"/>
  <c r="D57" i="29"/>
  <c r="E57" i="29"/>
  <c r="F57" i="29"/>
  <c r="G57" i="29"/>
  <c r="H57" i="29"/>
  <c r="I57" i="29"/>
  <c r="J57" i="29"/>
  <c r="K57" i="29"/>
  <c r="L57" i="29"/>
  <c r="M57" i="29"/>
  <c r="N57" i="29"/>
  <c r="O57" i="29"/>
  <c r="P57" i="29"/>
  <c r="Q57" i="29"/>
  <c r="R57" i="29"/>
  <c r="S57" i="29"/>
  <c r="T57" i="29"/>
  <c r="U57" i="29"/>
  <c r="V57" i="29"/>
  <c r="W57" i="29"/>
  <c r="X57" i="29"/>
  <c r="Y57" i="29"/>
  <c r="Z57" i="29"/>
  <c r="AA57" i="29"/>
  <c r="AB57" i="29"/>
  <c r="AC57" i="29"/>
  <c r="AD57" i="29"/>
  <c r="AE57" i="29"/>
  <c r="AF57" i="29"/>
  <c r="AG57" i="29"/>
  <c r="AH57" i="29"/>
  <c r="AI57" i="29"/>
  <c r="AJ57" i="29"/>
  <c r="AK57" i="29"/>
  <c r="AL57" i="29"/>
  <c r="AM57" i="29"/>
  <c r="AN57" i="29"/>
  <c r="AO57" i="29"/>
  <c r="AP57" i="29"/>
  <c r="AQ57" i="29"/>
  <c r="AR57" i="29"/>
  <c r="AS57" i="29"/>
  <c r="AT57" i="29"/>
  <c r="AU57" i="29"/>
  <c r="AV57" i="29"/>
  <c r="AW57" i="29"/>
  <c r="AX57" i="29"/>
  <c r="AX59" i="29"/>
  <c r="AY4" i="29"/>
  <c r="AY6" i="29"/>
  <c r="AY8" i="29"/>
  <c r="AY9" i="29"/>
  <c r="AY11" i="29"/>
  <c r="AY13" i="29"/>
  <c r="AY15" i="29"/>
  <c r="AY17" i="29"/>
  <c r="AY18" i="29"/>
  <c r="AY20" i="29"/>
  <c r="AY25" i="29"/>
  <c r="AY30" i="29"/>
  <c r="AY21" i="29"/>
  <c r="AY22" i="29"/>
  <c r="AY27" i="29"/>
  <c r="AY32" i="29"/>
  <c r="AY37" i="29"/>
  <c r="AY40" i="29"/>
  <c r="AY41" i="29"/>
  <c r="AY43" i="29"/>
  <c r="AY45" i="29"/>
  <c r="AY47" i="29"/>
  <c r="AY50" i="29"/>
  <c r="AY52" i="29"/>
  <c r="AY53" i="29"/>
  <c r="AY55" i="29"/>
  <c r="AY57" i="29"/>
  <c r="AY59" i="29"/>
  <c r="C15" i="23"/>
  <c r="AZ4" i="29"/>
  <c r="AZ6" i="29"/>
  <c r="AZ8" i="29"/>
  <c r="AZ9" i="29"/>
  <c r="AZ11" i="29"/>
  <c r="AZ13" i="29"/>
  <c r="AZ15" i="29"/>
  <c r="AZ17" i="29"/>
  <c r="AZ18" i="29"/>
  <c r="AZ20" i="29"/>
  <c r="AZ25" i="29"/>
  <c r="AZ30" i="29"/>
  <c r="AZ21" i="29"/>
  <c r="AZ22" i="29"/>
  <c r="AZ27" i="29"/>
  <c r="AZ32" i="29"/>
  <c r="AZ37" i="29"/>
  <c r="AZ40" i="29"/>
  <c r="AZ41" i="29"/>
  <c r="AZ43" i="29"/>
  <c r="AZ45" i="29"/>
  <c r="AZ47" i="29"/>
  <c r="AZ50" i="29"/>
  <c r="AZ52" i="29"/>
  <c r="AZ53" i="29"/>
  <c r="AZ55" i="29"/>
  <c r="AZ57" i="29"/>
  <c r="AZ59" i="29"/>
  <c r="D15" i="23"/>
  <c r="BA4" i="29"/>
  <c r="BA6" i="29"/>
  <c r="BA8" i="29"/>
  <c r="BA9" i="29"/>
  <c r="BA11" i="29"/>
  <c r="BA13" i="29"/>
  <c r="BA15" i="29"/>
  <c r="BA17" i="29"/>
  <c r="BA18" i="29"/>
  <c r="BA20" i="29"/>
  <c r="BA25" i="29"/>
  <c r="BA30" i="29"/>
  <c r="BA21" i="29"/>
  <c r="BA22" i="29"/>
  <c r="BA27" i="29"/>
  <c r="BA32" i="29"/>
  <c r="BA37" i="29"/>
  <c r="BA40" i="29"/>
  <c r="BA41" i="29"/>
  <c r="BA43" i="29"/>
  <c r="BA45" i="29"/>
  <c r="BA47" i="29"/>
  <c r="BA50" i="29"/>
  <c r="BA52" i="29"/>
  <c r="BA53" i="29"/>
  <c r="BA55" i="29"/>
  <c r="BA57" i="29"/>
  <c r="BA59" i="29"/>
  <c r="E15" i="23"/>
  <c r="BB4" i="29"/>
  <c r="BB6" i="29"/>
  <c r="BB8" i="29"/>
  <c r="BB9" i="29"/>
  <c r="BB11" i="29"/>
  <c r="BB13" i="29"/>
  <c r="BB15" i="29"/>
  <c r="BB17" i="29"/>
  <c r="BB18" i="29"/>
  <c r="BB20" i="29"/>
  <c r="BB25" i="29"/>
  <c r="BB30" i="29"/>
  <c r="BB21" i="29"/>
  <c r="BB22" i="29"/>
  <c r="BB27" i="29"/>
  <c r="BB32" i="29"/>
  <c r="BB37" i="29"/>
  <c r="BB40" i="29"/>
  <c r="BB41" i="29"/>
  <c r="BB43" i="29"/>
  <c r="BB45" i="29"/>
  <c r="BB47" i="29"/>
  <c r="BB50" i="29"/>
  <c r="BB52" i="29"/>
  <c r="BB53" i="29"/>
  <c r="BB55" i="29"/>
  <c r="BB57" i="29"/>
  <c r="BB59" i="29"/>
  <c r="F15" i="23"/>
  <c r="BC4" i="29"/>
  <c r="BC6" i="29"/>
  <c r="BC8" i="29"/>
  <c r="BC9" i="29"/>
  <c r="BC11" i="29"/>
  <c r="BC13" i="29"/>
  <c r="BC15" i="29"/>
  <c r="BC17" i="29"/>
  <c r="BC18" i="29"/>
  <c r="BC20" i="29"/>
  <c r="BC25" i="29"/>
  <c r="BC30" i="29"/>
  <c r="BC21" i="29"/>
  <c r="BC22" i="29"/>
  <c r="BC27" i="29"/>
  <c r="BC32" i="29"/>
  <c r="BC37" i="29"/>
  <c r="BC40" i="29"/>
  <c r="BC41" i="29"/>
  <c r="BC43" i="29"/>
  <c r="BC45" i="29"/>
  <c r="BC47" i="29"/>
  <c r="BC50" i="29"/>
  <c r="BC52" i="29"/>
  <c r="BC53" i="29"/>
  <c r="BC55" i="29"/>
  <c r="BC57" i="29"/>
  <c r="BC59" i="29"/>
  <c r="G15" i="23"/>
  <c r="BD4" i="29"/>
  <c r="BD6" i="29"/>
  <c r="BD8" i="29"/>
  <c r="BD9" i="29"/>
  <c r="BD11" i="29"/>
  <c r="BD13" i="29"/>
  <c r="BD15" i="29"/>
  <c r="BD17" i="29"/>
  <c r="BD18" i="29"/>
  <c r="BD20" i="29"/>
  <c r="BD25" i="29"/>
  <c r="BD30" i="29"/>
  <c r="BD21" i="29"/>
  <c r="BD22" i="29"/>
  <c r="BD27" i="29"/>
  <c r="BD32" i="29"/>
  <c r="BD37" i="29"/>
  <c r="BD40" i="29"/>
  <c r="BD41" i="29"/>
  <c r="BD43" i="29"/>
  <c r="BD45" i="29"/>
  <c r="BD47" i="29"/>
  <c r="BD50" i="29"/>
  <c r="BD52" i="29"/>
  <c r="BD53" i="29"/>
  <c r="BD55" i="29"/>
  <c r="BD57" i="29"/>
  <c r="BD59" i="29"/>
  <c r="H15" i="23"/>
  <c r="BE4" i="29"/>
  <c r="BE6" i="29"/>
  <c r="BE8" i="29"/>
  <c r="BE9" i="29"/>
  <c r="BE11" i="29"/>
  <c r="BE13" i="29"/>
  <c r="BE15" i="29"/>
  <c r="BE17" i="29"/>
  <c r="BE18" i="29"/>
  <c r="BE20" i="29"/>
  <c r="BE25" i="29"/>
  <c r="BE30" i="29"/>
  <c r="BE21" i="29"/>
  <c r="BE22" i="29"/>
  <c r="BE27" i="29"/>
  <c r="BE32" i="29"/>
  <c r="BE37" i="29"/>
  <c r="BE40" i="29"/>
  <c r="BE41" i="29"/>
  <c r="BE43" i="29"/>
  <c r="BE45" i="29"/>
  <c r="BE47" i="29"/>
  <c r="BE50" i="29"/>
  <c r="BE52" i="29"/>
  <c r="BE53" i="29"/>
  <c r="BE55" i="29"/>
  <c r="BE57" i="29"/>
  <c r="BE59" i="29"/>
  <c r="I15" i="23"/>
  <c r="BF4" i="29"/>
  <c r="BF6" i="29"/>
  <c r="BF8" i="29"/>
  <c r="BF9" i="29"/>
  <c r="BF11" i="29"/>
  <c r="BF13" i="29"/>
  <c r="BF15" i="29"/>
  <c r="BF17" i="29"/>
  <c r="BF18" i="29"/>
  <c r="BF20" i="29"/>
  <c r="BF25" i="29"/>
  <c r="BF30" i="29"/>
  <c r="BF21" i="29"/>
  <c r="BF22" i="29"/>
  <c r="BF27" i="29"/>
  <c r="BF32" i="29"/>
  <c r="BF37" i="29"/>
  <c r="BF40" i="29"/>
  <c r="BF41" i="29"/>
  <c r="BF43" i="29"/>
  <c r="BF45" i="29"/>
  <c r="BF47" i="29"/>
  <c r="BF50" i="29"/>
  <c r="BF52" i="29"/>
  <c r="BF53" i="29"/>
  <c r="BF55" i="29"/>
  <c r="BF57" i="29"/>
  <c r="BF59" i="29"/>
  <c r="J15" i="23"/>
  <c r="BG4" i="29"/>
  <c r="BG6" i="29"/>
  <c r="BG8" i="29"/>
  <c r="BG9" i="29"/>
  <c r="BG11" i="29"/>
  <c r="BG13" i="29"/>
  <c r="BG15" i="29"/>
  <c r="BG17" i="29"/>
  <c r="BG18" i="29"/>
  <c r="BG20" i="29"/>
  <c r="BG25" i="29"/>
  <c r="BG30" i="29"/>
  <c r="BG21" i="29"/>
  <c r="BG22" i="29"/>
  <c r="BG27" i="29"/>
  <c r="BG32" i="29"/>
  <c r="BG37" i="29"/>
  <c r="BG40" i="29"/>
  <c r="BG41" i="29"/>
  <c r="BG43" i="29"/>
  <c r="BG45" i="29"/>
  <c r="BG47" i="29"/>
  <c r="BG50" i="29"/>
  <c r="BG52" i="29"/>
  <c r="BG53" i="29"/>
  <c r="BG55" i="29"/>
  <c r="BG57" i="29"/>
  <c r="BG59" i="29"/>
  <c r="K15" i="23"/>
  <c r="BH4" i="29"/>
  <c r="BH6" i="29"/>
  <c r="BH8" i="29"/>
  <c r="BH9" i="29"/>
  <c r="BH11" i="29"/>
  <c r="BH13" i="29"/>
  <c r="BH15" i="29"/>
  <c r="BH17" i="29"/>
  <c r="BH18" i="29"/>
  <c r="BH20" i="29"/>
  <c r="BH25" i="29"/>
  <c r="BH30" i="29"/>
  <c r="BH21" i="29"/>
  <c r="BH22" i="29"/>
  <c r="BH27" i="29"/>
  <c r="BH32" i="29"/>
  <c r="BH37" i="29"/>
  <c r="BH40" i="29"/>
  <c r="BH41" i="29"/>
  <c r="BH43" i="29"/>
  <c r="BH45" i="29"/>
  <c r="BH47" i="29"/>
  <c r="BH50" i="29"/>
  <c r="BH52" i="29"/>
  <c r="BH53" i="29"/>
  <c r="BH55" i="29"/>
  <c r="BH57" i="29"/>
  <c r="BH59" i="29"/>
  <c r="L15" i="23"/>
  <c r="BI4" i="29"/>
  <c r="BI6" i="29"/>
  <c r="BI8" i="29"/>
  <c r="BI9" i="29"/>
  <c r="BI11" i="29"/>
  <c r="BI13" i="29"/>
  <c r="BI15" i="29"/>
  <c r="BI17" i="29"/>
  <c r="BI18" i="29"/>
  <c r="BI20" i="29"/>
  <c r="BI25" i="29"/>
  <c r="BI30" i="29"/>
  <c r="BI21" i="29"/>
  <c r="BI22" i="29"/>
  <c r="BI27" i="29"/>
  <c r="BI32" i="29"/>
  <c r="BI37" i="29"/>
  <c r="BI40" i="29"/>
  <c r="BI41" i="29"/>
  <c r="BI43" i="29"/>
  <c r="BI45" i="29"/>
  <c r="BI47" i="29"/>
  <c r="BI50" i="29"/>
  <c r="BI52" i="29"/>
  <c r="BI53" i="29"/>
  <c r="BI55" i="29"/>
  <c r="BI57" i="29"/>
  <c r="BI59" i="29"/>
  <c r="M15" i="23"/>
  <c r="AW21" i="29"/>
  <c r="AW22" i="29"/>
  <c r="AW27" i="29"/>
  <c r="AW32" i="29"/>
  <c r="AW40" i="29"/>
  <c r="AW43" i="29"/>
  <c r="AW47" i="29"/>
  <c r="AW52" i="29"/>
  <c r="AW55" i="29"/>
  <c r="AW59" i="29"/>
  <c r="B15" i="23"/>
  <c r="AL21" i="29"/>
  <c r="AL22" i="29"/>
  <c r="AL27" i="29"/>
  <c r="AL32" i="29"/>
  <c r="AL40" i="29"/>
  <c r="AL43" i="29"/>
  <c r="AL47" i="29"/>
  <c r="AL52" i="29"/>
  <c r="AL55" i="29"/>
  <c r="AL59" i="29"/>
  <c r="AM21" i="29"/>
  <c r="AM22" i="29"/>
  <c r="AM27" i="29"/>
  <c r="AM32" i="29"/>
  <c r="AM40" i="29"/>
  <c r="AM43" i="29"/>
  <c r="AM47" i="29"/>
  <c r="AM52" i="29"/>
  <c r="AM55" i="29"/>
  <c r="AM59" i="29"/>
  <c r="C15" i="24"/>
  <c r="AN21" i="29"/>
  <c r="AN22" i="29"/>
  <c r="AN27" i="29"/>
  <c r="AN32" i="29"/>
  <c r="AN40" i="29"/>
  <c r="AN43" i="29"/>
  <c r="AN47" i="29"/>
  <c r="AN52" i="29"/>
  <c r="AN55" i="29"/>
  <c r="AN59" i="29"/>
  <c r="D15" i="24"/>
  <c r="AO21" i="29"/>
  <c r="AO22" i="29"/>
  <c r="AO27" i="29"/>
  <c r="AO32" i="29"/>
  <c r="AO40" i="29"/>
  <c r="AO43" i="29"/>
  <c r="AO47" i="29"/>
  <c r="AO52" i="29"/>
  <c r="AO55" i="29"/>
  <c r="AO59" i="29"/>
  <c r="E15" i="24"/>
  <c r="AP21" i="29"/>
  <c r="AP22" i="29"/>
  <c r="AP27" i="29"/>
  <c r="AP32" i="29"/>
  <c r="AP40" i="29"/>
  <c r="AP43" i="29"/>
  <c r="AP47" i="29"/>
  <c r="AP52" i="29"/>
  <c r="AP55" i="29"/>
  <c r="AP59" i="29"/>
  <c r="F15" i="24"/>
  <c r="AQ21" i="29"/>
  <c r="AQ22" i="29"/>
  <c r="AQ27" i="29"/>
  <c r="AQ32" i="29"/>
  <c r="AQ40" i="29"/>
  <c r="AQ43" i="29"/>
  <c r="AQ47" i="29"/>
  <c r="AQ52" i="29"/>
  <c r="AQ55" i="29"/>
  <c r="AQ59" i="29"/>
  <c r="G15" i="24"/>
  <c r="AR21" i="29"/>
  <c r="AR22" i="29"/>
  <c r="AR27" i="29"/>
  <c r="AR32" i="29"/>
  <c r="AR40" i="29"/>
  <c r="AR43" i="29"/>
  <c r="AR47" i="29"/>
  <c r="AR52" i="29"/>
  <c r="AR55" i="29"/>
  <c r="AR59" i="29"/>
  <c r="H15" i="24"/>
  <c r="AS21" i="29"/>
  <c r="AS22" i="29"/>
  <c r="AS27" i="29"/>
  <c r="AS32" i="29"/>
  <c r="AS40" i="29"/>
  <c r="AS43" i="29"/>
  <c r="AS47" i="29"/>
  <c r="AS52" i="29"/>
  <c r="AS55" i="29"/>
  <c r="AS59" i="29"/>
  <c r="I15" i="24"/>
  <c r="AT21" i="29"/>
  <c r="AT22" i="29"/>
  <c r="AT27" i="29"/>
  <c r="AT32" i="29"/>
  <c r="AT40" i="29"/>
  <c r="AT43" i="29"/>
  <c r="AT47" i="29"/>
  <c r="AT52" i="29"/>
  <c r="AT55" i="29"/>
  <c r="AT59" i="29"/>
  <c r="J15" i="24"/>
  <c r="AU21" i="29"/>
  <c r="AU22" i="29"/>
  <c r="AU27" i="29"/>
  <c r="AU32" i="29"/>
  <c r="AU40" i="29"/>
  <c r="AU43" i="29"/>
  <c r="AU47" i="29"/>
  <c r="AU52" i="29"/>
  <c r="AU55" i="29"/>
  <c r="AU59" i="29"/>
  <c r="K15" i="24"/>
  <c r="AV21" i="29"/>
  <c r="AV22" i="29"/>
  <c r="AV27" i="29"/>
  <c r="AV32" i="29"/>
  <c r="AV40" i="29"/>
  <c r="AV43" i="29"/>
  <c r="AV47" i="29"/>
  <c r="AV52" i="29"/>
  <c r="AV55" i="29"/>
  <c r="AV59" i="29"/>
  <c r="L15" i="24"/>
  <c r="M15" i="24"/>
  <c r="AK21" i="29"/>
  <c r="AK22" i="29"/>
  <c r="AK27" i="29"/>
  <c r="AK32" i="29"/>
  <c r="AK40" i="29"/>
  <c r="AK43" i="29"/>
  <c r="AK47" i="29"/>
  <c r="AK52" i="29"/>
  <c r="AK55" i="29"/>
  <c r="AK59" i="29"/>
  <c r="B15" i="24"/>
  <c r="Z21" i="29"/>
  <c r="Z22" i="29"/>
  <c r="Z27" i="29"/>
  <c r="Z32" i="29"/>
  <c r="Z40" i="29"/>
  <c r="Z43" i="29"/>
  <c r="Z47" i="29"/>
  <c r="Z52" i="29"/>
  <c r="Z55" i="29"/>
  <c r="Z59" i="29"/>
  <c r="AA21" i="29"/>
  <c r="AA22" i="29"/>
  <c r="AA27" i="29"/>
  <c r="AA32" i="29"/>
  <c r="AA40" i="29"/>
  <c r="AA43" i="29"/>
  <c r="AA47" i="29"/>
  <c r="AA52" i="29"/>
  <c r="AA55" i="29"/>
  <c r="AA59" i="29"/>
  <c r="C15" i="10"/>
  <c r="AB21" i="29"/>
  <c r="AB22" i="29"/>
  <c r="AB27" i="29"/>
  <c r="AB32" i="29"/>
  <c r="AB40" i="29"/>
  <c r="AB43" i="29"/>
  <c r="AB47" i="29"/>
  <c r="AB52" i="29"/>
  <c r="AB55" i="29"/>
  <c r="AB59" i="29"/>
  <c r="D15" i="10"/>
  <c r="AC21" i="29"/>
  <c r="AC22" i="29"/>
  <c r="AC27" i="29"/>
  <c r="AC32" i="29"/>
  <c r="AC40" i="29"/>
  <c r="AC43" i="29"/>
  <c r="AC47" i="29"/>
  <c r="AC52" i="29"/>
  <c r="AC55" i="29"/>
  <c r="AC59" i="29"/>
  <c r="E15" i="10"/>
  <c r="AD21" i="29"/>
  <c r="AD22" i="29"/>
  <c r="AD27" i="29"/>
  <c r="AD32" i="29"/>
  <c r="AD40" i="29"/>
  <c r="AD43" i="29"/>
  <c r="AD47" i="29"/>
  <c r="AD52" i="29"/>
  <c r="AD55" i="29"/>
  <c r="AD59" i="29"/>
  <c r="F15" i="10"/>
  <c r="AE21" i="29"/>
  <c r="AE22" i="29"/>
  <c r="AE27" i="29"/>
  <c r="AE32" i="29"/>
  <c r="AE40" i="29"/>
  <c r="AE43" i="29"/>
  <c r="AE47" i="29"/>
  <c r="AE52" i="29"/>
  <c r="AE55" i="29"/>
  <c r="AE59" i="29"/>
  <c r="G15" i="10"/>
  <c r="AF21" i="29"/>
  <c r="AF22" i="29"/>
  <c r="AF27" i="29"/>
  <c r="AF32" i="29"/>
  <c r="AF40" i="29"/>
  <c r="AF43" i="29"/>
  <c r="AF47" i="29"/>
  <c r="AF52" i="29"/>
  <c r="AF55" i="29"/>
  <c r="AF59" i="29"/>
  <c r="H15" i="10"/>
  <c r="AG21" i="29"/>
  <c r="AG22" i="29"/>
  <c r="AG27" i="29"/>
  <c r="AG32" i="29"/>
  <c r="AG40" i="29"/>
  <c r="AG43" i="29"/>
  <c r="AG47" i="29"/>
  <c r="AG52" i="29"/>
  <c r="AG55" i="29"/>
  <c r="AG59" i="29"/>
  <c r="I15" i="10"/>
  <c r="AH21" i="29"/>
  <c r="AH22" i="29"/>
  <c r="AH27" i="29"/>
  <c r="AH32" i="29"/>
  <c r="AH40" i="29"/>
  <c r="AH43" i="29"/>
  <c r="AH47" i="29"/>
  <c r="AH52" i="29"/>
  <c r="AH55" i="29"/>
  <c r="AH59" i="29"/>
  <c r="J15" i="10"/>
  <c r="AI21" i="29"/>
  <c r="AI22" i="29"/>
  <c r="AI27" i="29"/>
  <c r="AI32" i="29"/>
  <c r="AI40" i="29"/>
  <c r="AI43" i="29"/>
  <c r="AI47" i="29"/>
  <c r="AI52" i="29"/>
  <c r="AI55" i="29"/>
  <c r="AI59" i="29"/>
  <c r="K15" i="10"/>
  <c r="AJ21" i="29"/>
  <c r="AJ22" i="29"/>
  <c r="AJ27" i="29"/>
  <c r="AJ32" i="29"/>
  <c r="AJ40" i="29"/>
  <c r="AJ43" i="29"/>
  <c r="AJ47" i="29"/>
  <c r="AJ52" i="29"/>
  <c r="AJ55" i="29"/>
  <c r="AJ59" i="29"/>
  <c r="L15" i="10"/>
  <c r="M15" i="10"/>
  <c r="Y21" i="29"/>
  <c r="Y22" i="29"/>
  <c r="Y27" i="29"/>
  <c r="Y32" i="29"/>
  <c r="Y40" i="29"/>
  <c r="Y43" i="29"/>
  <c r="Y47" i="29"/>
  <c r="Y52" i="29"/>
  <c r="Y55" i="29"/>
  <c r="Y59" i="29"/>
  <c r="B15" i="10"/>
  <c r="N21" i="29"/>
  <c r="N22" i="29"/>
  <c r="N27" i="29"/>
  <c r="N32" i="29"/>
  <c r="N40" i="29"/>
  <c r="N43" i="29"/>
  <c r="N47" i="29"/>
  <c r="N52" i="29"/>
  <c r="N55" i="29"/>
  <c r="N59" i="29"/>
  <c r="O21" i="29"/>
  <c r="O22" i="29"/>
  <c r="O27" i="29"/>
  <c r="O32" i="29"/>
  <c r="O40" i="29"/>
  <c r="O43" i="29"/>
  <c r="O47" i="29"/>
  <c r="O52" i="29"/>
  <c r="O55" i="29"/>
  <c r="O59" i="29"/>
  <c r="C15" i="9"/>
  <c r="P21" i="29"/>
  <c r="P22" i="29"/>
  <c r="P27" i="29"/>
  <c r="P32" i="29"/>
  <c r="P40" i="29"/>
  <c r="P43" i="29"/>
  <c r="P47" i="29"/>
  <c r="P52" i="29"/>
  <c r="P55" i="29"/>
  <c r="P59" i="29"/>
  <c r="D15" i="9"/>
  <c r="Q21" i="29"/>
  <c r="Q22" i="29"/>
  <c r="Q27" i="29"/>
  <c r="Q32" i="29"/>
  <c r="Q40" i="29"/>
  <c r="Q43" i="29"/>
  <c r="Q47" i="29"/>
  <c r="Q52" i="29"/>
  <c r="Q55" i="29"/>
  <c r="Q59" i="29"/>
  <c r="E15" i="9"/>
  <c r="R21" i="29"/>
  <c r="R22" i="29"/>
  <c r="R27" i="29"/>
  <c r="R32" i="29"/>
  <c r="R40" i="29"/>
  <c r="R43" i="29"/>
  <c r="R47" i="29"/>
  <c r="R52" i="29"/>
  <c r="R55" i="29"/>
  <c r="R59" i="29"/>
  <c r="F15" i="9"/>
  <c r="S21" i="29"/>
  <c r="S22" i="29"/>
  <c r="S27" i="29"/>
  <c r="S32" i="29"/>
  <c r="S40" i="29"/>
  <c r="S43" i="29"/>
  <c r="S47" i="29"/>
  <c r="S52" i="29"/>
  <c r="S55" i="29"/>
  <c r="S59" i="29"/>
  <c r="G15" i="9"/>
  <c r="T21" i="29"/>
  <c r="T22" i="29"/>
  <c r="T27" i="29"/>
  <c r="T32" i="29"/>
  <c r="T40" i="29"/>
  <c r="T43" i="29"/>
  <c r="T47" i="29"/>
  <c r="T52" i="29"/>
  <c r="T55" i="29"/>
  <c r="T59" i="29"/>
  <c r="H15" i="9"/>
  <c r="U21" i="29"/>
  <c r="U22" i="29"/>
  <c r="U27" i="29"/>
  <c r="U32" i="29"/>
  <c r="U40" i="29"/>
  <c r="U43" i="29"/>
  <c r="U47" i="29"/>
  <c r="U52" i="29"/>
  <c r="U55" i="29"/>
  <c r="U59" i="29"/>
  <c r="I15" i="9"/>
  <c r="V21" i="29"/>
  <c r="V22" i="29"/>
  <c r="V27" i="29"/>
  <c r="V32" i="29"/>
  <c r="V40" i="29"/>
  <c r="V43" i="29"/>
  <c r="V47" i="29"/>
  <c r="V52" i="29"/>
  <c r="V55" i="29"/>
  <c r="V59" i="29"/>
  <c r="J15" i="9"/>
  <c r="W21" i="29"/>
  <c r="W22" i="29"/>
  <c r="W27" i="29"/>
  <c r="W32" i="29"/>
  <c r="W40" i="29"/>
  <c r="W43" i="29"/>
  <c r="W47" i="29"/>
  <c r="W52" i="29"/>
  <c r="W55" i="29"/>
  <c r="W59" i="29"/>
  <c r="K15" i="9"/>
  <c r="X21" i="29"/>
  <c r="X22" i="29"/>
  <c r="X27" i="29"/>
  <c r="X32" i="29"/>
  <c r="X40" i="29"/>
  <c r="X43" i="29"/>
  <c r="X47" i="29"/>
  <c r="X52" i="29"/>
  <c r="X55" i="29"/>
  <c r="X59" i="29"/>
  <c r="L15" i="9"/>
  <c r="M15" i="9"/>
  <c r="M21" i="29"/>
  <c r="M22" i="29"/>
  <c r="M27" i="29"/>
  <c r="M32" i="29"/>
  <c r="M40" i="29"/>
  <c r="M43" i="29"/>
  <c r="M47" i="29"/>
  <c r="M52" i="29"/>
  <c r="M55" i="29"/>
  <c r="M59" i="29"/>
  <c r="B15" i="9"/>
  <c r="C21" i="29"/>
  <c r="C22" i="29"/>
  <c r="C27" i="29"/>
  <c r="C32" i="29"/>
  <c r="C40" i="29"/>
  <c r="C43" i="29"/>
  <c r="C47" i="29"/>
  <c r="C52" i="29"/>
  <c r="C55" i="29"/>
  <c r="C59" i="29"/>
  <c r="D21" i="29"/>
  <c r="D22" i="29"/>
  <c r="D27" i="29"/>
  <c r="D32" i="29"/>
  <c r="D40" i="29"/>
  <c r="D43" i="29"/>
  <c r="D47" i="29"/>
  <c r="D52" i="29"/>
  <c r="D55" i="29"/>
  <c r="D59" i="29"/>
  <c r="E16" i="8"/>
  <c r="E21" i="29"/>
  <c r="E22" i="29"/>
  <c r="E27" i="29"/>
  <c r="E32" i="29"/>
  <c r="E40" i="29"/>
  <c r="E43" i="29"/>
  <c r="E47" i="29"/>
  <c r="E52" i="29"/>
  <c r="E55" i="29"/>
  <c r="E59" i="29"/>
  <c r="F16" i="8"/>
  <c r="F21" i="29"/>
  <c r="F22" i="29"/>
  <c r="F27" i="29"/>
  <c r="F32" i="29"/>
  <c r="F40" i="29"/>
  <c r="F43" i="29"/>
  <c r="F47" i="29"/>
  <c r="F52" i="29"/>
  <c r="F55" i="29"/>
  <c r="F59" i="29"/>
  <c r="G16" i="8"/>
  <c r="G21" i="29"/>
  <c r="G22" i="29"/>
  <c r="G27" i="29"/>
  <c r="G32" i="29"/>
  <c r="G40" i="29"/>
  <c r="G43" i="29"/>
  <c r="G47" i="29"/>
  <c r="G52" i="29"/>
  <c r="G55" i="29"/>
  <c r="G59" i="29"/>
  <c r="H16" i="8"/>
  <c r="H21" i="29"/>
  <c r="H22" i="29"/>
  <c r="H27" i="29"/>
  <c r="H32" i="29"/>
  <c r="H40" i="29"/>
  <c r="H43" i="29"/>
  <c r="H47" i="29"/>
  <c r="H52" i="29"/>
  <c r="H55" i="29"/>
  <c r="H59" i="29"/>
  <c r="I16" i="8"/>
  <c r="I21" i="29"/>
  <c r="I22" i="29"/>
  <c r="I27" i="29"/>
  <c r="I32" i="29"/>
  <c r="I40" i="29"/>
  <c r="I43" i="29"/>
  <c r="I47" i="29"/>
  <c r="I52" i="29"/>
  <c r="I55" i="29"/>
  <c r="I59" i="29"/>
  <c r="J16" i="8"/>
  <c r="J21" i="29"/>
  <c r="J22" i="29"/>
  <c r="J27" i="29"/>
  <c r="J32" i="29"/>
  <c r="J40" i="29"/>
  <c r="J43" i="29"/>
  <c r="J47" i="29"/>
  <c r="J52" i="29"/>
  <c r="J55" i="29"/>
  <c r="J59" i="29"/>
  <c r="K16" i="8"/>
  <c r="K21" i="29"/>
  <c r="K22" i="29"/>
  <c r="K27" i="29"/>
  <c r="K32" i="29"/>
  <c r="K40" i="29"/>
  <c r="K43" i="29"/>
  <c r="K47" i="29"/>
  <c r="K52" i="29"/>
  <c r="K55" i="29"/>
  <c r="K59" i="29"/>
  <c r="L16" i="8"/>
  <c r="L21" i="29"/>
  <c r="L22" i="29"/>
  <c r="L27" i="29"/>
  <c r="L32" i="29"/>
  <c r="L40" i="29"/>
  <c r="L43" i="29"/>
  <c r="L47" i="29"/>
  <c r="L52" i="29"/>
  <c r="L55" i="29"/>
  <c r="L59" i="29"/>
  <c r="M16" i="8"/>
  <c r="N16" i="8"/>
  <c r="B21" i="29"/>
  <c r="B22" i="29"/>
  <c r="B27" i="29"/>
  <c r="B32" i="29"/>
  <c r="B40" i="29"/>
  <c r="B43" i="29"/>
  <c r="B47" i="29"/>
  <c r="B52" i="29"/>
  <c r="B55" i="29"/>
  <c r="B59" i="29"/>
  <c r="D16" i="8"/>
  <c r="C16" i="8"/>
  <c r="B16" i="3"/>
  <c r="B17" i="3"/>
  <c r="B18" i="3"/>
  <c r="B19" i="3"/>
  <c r="B20" i="3"/>
  <c r="B21" i="3"/>
  <c r="B22" i="3"/>
  <c r="B23" i="3"/>
  <c r="B24" i="3"/>
  <c r="B15" i="3"/>
  <c r="B26" i="3"/>
  <c r="B28" i="3"/>
  <c r="B58" i="1"/>
  <c r="C26" i="8"/>
  <c r="B35" i="29"/>
  <c r="B62" i="29"/>
  <c r="B7" i="31"/>
  <c r="B56" i="1"/>
  <c r="B9" i="2"/>
  <c r="F9" i="2"/>
  <c r="D9" i="2"/>
  <c r="B29" i="5"/>
  <c r="B4" i="31"/>
  <c r="B74" i="29"/>
  <c r="C16" i="3"/>
  <c r="C17" i="3"/>
  <c r="C18" i="3"/>
  <c r="C19" i="3"/>
  <c r="C20" i="3"/>
  <c r="C21" i="3"/>
  <c r="C22" i="3"/>
  <c r="C23" i="3"/>
  <c r="C24" i="3"/>
  <c r="C15" i="3"/>
  <c r="C26" i="3"/>
  <c r="C28" i="3"/>
  <c r="C58" i="1"/>
  <c r="C23" i="29"/>
  <c r="C28" i="29"/>
  <c r="C33" i="29"/>
  <c r="C35" i="29"/>
  <c r="C62" i="29"/>
  <c r="C56" i="1"/>
  <c r="B10" i="2"/>
  <c r="C9" i="2"/>
  <c r="E9" i="2"/>
  <c r="F10" i="2"/>
  <c r="D10" i="2"/>
  <c r="C29" i="5"/>
  <c r="C67" i="29"/>
  <c r="C69" i="29"/>
  <c r="C71" i="29"/>
  <c r="C74" i="29"/>
  <c r="D16" i="3"/>
  <c r="D17" i="3"/>
  <c r="D18" i="3"/>
  <c r="D19" i="3"/>
  <c r="D20" i="3"/>
  <c r="D21" i="3"/>
  <c r="D22" i="3"/>
  <c r="D23" i="3"/>
  <c r="D24" i="3"/>
  <c r="D15" i="3"/>
  <c r="D26" i="3"/>
  <c r="D28" i="3"/>
  <c r="D58" i="1"/>
  <c r="D23" i="29"/>
  <c r="D28" i="29"/>
  <c r="D33" i="29"/>
  <c r="D35" i="29"/>
  <c r="D62" i="29"/>
  <c r="D56" i="1"/>
  <c r="B11" i="2"/>
  <c r="C10" i="2"/>
  <c r="E10" i="2"/>
  <c r="F11" i="2"/>
  <c r="D11" i="2"/>
  <c r="D29" i="5"/>
  <c r="D67" i="29"/>
  <c r="D69" i="29"/>
  <c r="D71" i="29"/>
  <c r="D74" i="29"/>
  <c r="E16" i="3"/>
  <c r="E17" i="3"/>
  <c r="E18" i="3"/>
  <c r="E19" i="3"/>
  <c r="E20" i="3"/>
  <c r="E21" i="3"/>
  <c r="E22" i="3"/>
  <c r="E23" i="3"/>
  <c r="E24" i="3"/>
  <c r="E15" i="3"/>
  <c r="E26" i="3"/>
  <c r="E28" i="3"/>
  <c r="E58" i="1"/>
  <c r="E23" i="29"/>
  <c r="E28" i="29"/>
  <c r="E33" i="29"/>
  <c r="E35" i="29"/>
  <c r="E62" i="29"/>
  <c r="B12" i="2"/>
  <c r="C11" i="2"/>
  <c r="E11" i="2"/>
  <c r="F12" i="2"/>
  <c r="D12" i="2"/>
  <c r="E29" i="5"/>
  <c r="E67" i="29"/>
  <c r="E69" i="29"/>
  <c r="E71" i="29"/>
  <c r="E74" i="29"/>
  <c r="F16" i="3"/>
  <c r="F17" i="3"/>
  <c r="F18" i="3"/>
  <c r="F19" i="3"/>
  <c r="F20" i="3"/>
  <c r="F21" i="3"/>
  <c r="F22" i="3"/>
  <c r="F23" i="3"/>
  <c r="F24" i="3"/>
  <c r="F15" i="3"/>
  <c r="F26" i="3"/>
  <c r="F28" i="3"/>
  <c r="F58" i="1"/>
  <c r="F23" i="29"/>
  <c r="F28" i="29"/>
  <c r="F33" i="29"/>
  <c r="F35" i="29"/>
  <c r="F62" i="29"/>
  <c r="B13" i="2"/>
  <c r="C12" i="2"/>
  <c r="E12" i="2"/>
  <c r="F13" i="2"/>
  <c r="D13" i="2"/>
  <c r="F29" i="5"/>
  <c r="F67" i="29"/>
  <c r="F69" i="29"/>
  <c r="F71" i="29"/>
  <c r="F74" i="29"/>
  <c r="G16" i="3"/>
  <c r="G17" i="3"/>
  <c r="G18" i="3"/>
  <c r="G19" i="3"/>
  <c r="G20" i="3"/>
  <c r="G21" i="3"/>
  <c r="G22" i="3"/>
  <c r="G23" i="3"/>
  <c r="G24" i="3"/>
  <c r="G15" i="3"/>
  <c r="G26" i="3"/>
  <c r="G28" i="3"/>
  <c r="G58" i="1"/>
  <c r="G23" i="29"/>
  <c r="G28" i="29"/>
  <c r="G33" i="29"/>
  <c r="G35" i="29"/>
  <c r="G62" i="29"/>
  <c r="B14" i="2"/>
  <c r="C13" i="2"/>
  <c r="E13" i="2"/>
  <c r="F14" i="2"/>
  <c r="D14" i="2"/>
  <c r="G29" i="5"/>
  <c r="G67" i="29"/>
  <c r="G69" i="29"/>
  <c r="G71" i="29"/>
  <c r="G74" i="29"/>
  <c r="H16" i="3"/>
  <c r="H17" i="3"/>
  <c r="H18" i="3"/>
  <c r="H19" i="3"/>
  <c r="H20" i="3"/>
  <c r="H21" i="3"/>
  <c r="H22" i="3"/>
  <c r="H23" i="3"/>
  <c r="H24" i="3"/>
  <c r="H15" i="3"/>
  <c r="H26" i="3"/>
  <c r="H28" i="3"/>
  <c r="H58" i="1"/>
  <c r="H23" i="29"/>
  <c r="H28" i="29"/>
  <c r="H33" i="29"/>
  <c r="H35" i="29"/>
  <c r="H62" i="29"/>
  <c r="B15" i="2"/>
  <c r="C14" i="2"/>
  <c r="E14" i="2"/>
  <c r="F15" i="2"/>
  <c r="D15" i="2"/>
  <c r="H29" i="5"/>
  <c r="H67" i="29"/>
  <c r="H69" i="29"/>
  <c r="H71" i="29"/>
  <c r="H74" i="29"/>
  <c r="I16" i="3"/>
  <c r="I17" i="3"/>
  <c r="I18" i="3"/>
  <c r="I19" i="3"/>
  <c r="I20" i="3"/>
  <c r="I21" i="3"/>
  <c r="I22" i="3"/>
  <c r="I23" i="3"/>
  <c r="I24" i="3"/>
  <c r="I15" i="3"/>
  <c r="I26" i="3"/>
  <c r="I28" i="3"/>
  <c r="I58" i="1"/>
  <c r="I23" i="29"/>
  <c r="I28" i="29"/>
  <c r="I33" i="29"/>
  <c r="I35" i="29"/>
  <c r="I62" i="29"/>
  <c r="B16" i="2"/>
  <c r="C15" i="2"/>
  <c r="E15" i="2"/>
  <c r="F16" i="2"/>
  <c r="D16" i="2"/>
  <c r="I29" i="5"/>
  <c r="I67" i="29"/>
  <c r="I69" i="29"/>
  <c r="I71" i="29"/>
  <c r="I74" i="29"/>
  <c r="J16" i="3"/>
  <c r="J17" i="3"/>
  <c r="J18" i="3"/>
  <c r="J19" i="3"/>
  <c r="J20" i="3"/>
  <c r="J21" i="3"/>
  <c r="J22" i="3"/>
  <c r="J23" i="3"/>
  <c r="J24" i="3"/>
  <c r="J15" i="3"/>
  <c r="J26" i="3"/>
  <c r="J28" i="3"/>
  <c r="J58" i="1"/>
  <c r="J23" i="29"/>
  <c r="J28" i="29"/>
  <c r="J33" i="29"/>
  <c r="J35" i="29"/>
  <c r="J62" i="29"/>
  <c r="B17" i="2"/>
  <c r="C16" i="2"/>
  <c r="E16" i="2"/>
  <c r="F17" i="2"/>
  <c r="D17" i="2"/>
  <c r="J29" i="5"/>
  <c r="J67" i="29"/>
  <c r="J69" i="29"/>
  <c r="J71" i="29"/>
  <c r="J74" i="29"/>
  <c r="K16" i="3"/>
  <c r="K17" i="3"/>
  <c r="K18" i="3"/>
  <c r="K19" i="3"/>
  <c r="K20" i="3"/>
  <c r="K21" i="3"/>
  <c r="K22" i="3"/>
  <c r="K23" i="3"/>
  <c r="K24" i="3"/>
  <c r="K15" i="3"/>
  <c r="K26" i="3"/>
  <c r="K28" i="3"/>
  <c r="K58" i="1"/>
  <c r="K23" i="29"/>
  <c r="K28" i="29"/>
  <c r="K33" i="29"/>
  <c r="K35" i="29"/>
  <c r="K62" i="29"/>
  <c r="B18" i="2"/>
  <c r="C17" i="2"/>
  <c r="E17" i="2"/>
  <c r="F18" i="2"/>
  <c r="D18" i="2"/>
  <c r="K29" i="5"/>
  <c r="K67" i="29"/>
  <c r="K69" i="29"/>
  <c r="K71" i="29"/>
  <c r="K74" i="29"/>
  <c r="L16" i="3"/>
  <c r="L17" i="3"/>
  <c r="L18" i="3"/>
  <c r="L19" i="3"/>
  <c r="L20" i="3"/>
  <c r="L21" i="3"/>
  <c r="L22" i="3"/>
  <c r="L23" i="3"/>
  <c r="L24" i="3"/>
  <c r="L15" i="3"/>
  <c r="L26" i="3"/>
  <c r="L28" i="3"/>
  <c r="L58" i="1"/>
  <c r="L23" i="29"/>
  <c r="L28" i="29"/>
  <c r="L33" i="29"/>
  <c r="L35" i="29"/>
  <c r="L62" i="29"/>
  <c r="B19" i="2"/>
  <c r="C18" i="2"/>
  <c r="E18" i="2"/>
  <c r="F19" i="2"/>
  <c r="D19" i="2"/>
  <c r="L29" i="5"/>
  <c r="L67" i="29"/>
  <c r="L69" i="29"/>
  <c r="L71" i="29"/>
  <c r="L74" i="29"/>
  <c r="M16" i="3"/>
  <c r="M17" i="3"/>
  <c r="M18" i="3"/>
  <c r="M19" i="3"/>
  <c r="M20" i="3"/>
  <c r="M21" i="3"/>
  <c r="M22" i="3"/>
  <c r="M23" i="3"/>
  <c r="M24" i="3"/>
  <c r="M15" i="3"/>
  <c r="M26" i="3"/>
  <c r="M28" i="3"/>
  <c r="M58" i="1"/>
  <c r="M23" i="29"/>
  <c r="M28" i="29"/>
  <c r="M33" i="29"/>
  <c r="M35" i="29"/>
  <c r="M62" i="29"/>
  <c r="B20" i="2"/>
  <c r="C19" i="2"/>
  <c r="E19" i="2"/>
  <c r="F20" i="2"/>
  <c r="D20" i="2"/>
  <c r="M29" i="5"/>
  <c r="M67" i="29"/>
  <c r="M69" i="29"/>
  <c r="M71" i="29"/>
  <c r="M74" i="29"/>
  <c r="C34" i="8"/>
  <c r="C17" i="8"/>
  <c r="C18" i="8"/>
  <c r="C19" i="8"/>
  <c r="C20" i="8"/>
  <c r="C21" i="8"/>
  <c r="C22" i="8"/>
  <c r="C23" i="8"/>
  <c r="C24" i="8"/>
  <c r="C25" i="8"/>
  <c r="C27" i="8"/>
  <c r="C28" i="8"/>
  <c r="C29" i="8"/>
  <c r="C30" i="8"/>
  <c r="C31" i="8"/>
  <c r="C32" i="8"/>
  <c r="C33" i="8"/>
  <c r="C35" i="8"/>
  <c r="C36" i="8"/>
  <c r="C10" i="8"/>
  <c r="C11" i="8"/>
  <c r="B94" i="1"/>
  <c r="C12" i="8"/>
  <c r="C13" i="8"/>
  <c r="C38" i="8"/>
  <c r="B2" i="4"/>
  <c r="C7" i="8"/>
  <c r="D7" i="8"/>
  <c r="D26" i="8"/>
  <c r="D34" i="8"/>
  <c r="D17" i="8"/>
  <c r="D18" i="8"/>
  <c r="D19" i="8"/>
  <c r="D20" i="8"/>
  <c r="D21" i="8"/>
  <c r="D22" i="8"/>
  <c r="D23" i="8"/>
  <c r="D24" i="8"/>
  <c r="D25" i="8"/>
  <c r="D27" i="8"/>
  <c r="D28" i="8"/>
  <c r="D29" i="8"/>
  <c r="D30" i="8"/>
  <c r="D31" i="8"/>
  <c r="D32" i="8"/>
  <c r="D33" i="8"/>
  <c r="D35" i="8"/>
  <c r="D36" i="8"/>
  <c r="D10" i="8"/>
  <c r="D11" i="8"/>
  <c r="C94" i="1"/>
  <c r="D12" i="8"/>
  <c r="D13" i="8"/>
  <c r="D38" i="8"/>
  <c r="E7" i="8"/>
  <c r="E26" i="8"/>
  <c r="E34" i="8"/>
  <c r="E17" i="8"/>
  <c r="E18" i="8"/>
  <c r="E19" i="8"/>
  <c r="E20" i="8"/>
  <c r="E21" i="8"/>
  <c r="E22" i="8"/>
  <c r="E23" i="8"/>
  <c r="E24" i="8"/>
  <c r="E25" i="8"/>
  <c r="E27" i="8"/>
  <c r="E28" i="8"/>
  <c r="E29" i="8"/>
  <c r="E30" i="8"/>
  <c r="E31" i="8"/>
  <c r="E32" i="8"/>
  <c r="E33" i="8"/>
  <c r="E35" i="8"/>
  <c r="E36" i="8"/>
  <c r="E10" i="8"/>
  <c r="E11" i="8"/>
  <c r="D94" i="1"/>
  <c r="E12" i="8"/>
  <c r="E13" i="8"/>
  <c r="E38" i="8"/>
  <c r="F7" i="8"/>
  <c r="F26" i="8"/>
  <c r="F34" i="8"/>
  <c r="F17" i="8"/>
  <c r="F18" i="8"/>
  <c r="F19" i="8"/>
  <c r="F20" i="8"/>
  <c r="F21" i="8"/>
  <c r="F22" i="8"/>
  <c r="F23" i="8"/>
  <c r="F24" i="8"/>
  <c r="F25" i="8"/>
  <c r="F27" i="8"/>
  <c r="F28" i="8"/>
  <c r="F29" i="8"/>
  <c r="F30" i="8"/>
  <c r="F31" i="8"/>
  <c r="F32" i="8"/>
  <c r="F33" i="8"/>
  <c r="F35" i="8"/>
  <c r="F36" i="8"/>
  <c r="F10" i="8"/>
  <c r="F11" i="8"/>
  <c r="E94" i="1"/>
  <c r="F12" i="8"/>
  <c r="F13" i="8"/>
  <c r="F38" i="8"/>
  <c r="G7" i="8"/>
  <c r="G26" i="8"/>
  <c r="G34" i="8"/>
  <c r="G17" i="8"/>
  <c r="G18" i="8"/>
  <c r="G19" i="8"/>
  <c r="G20" i="8"/>
  <c r="G21" i="8"/>
  <c r="G22" i="8"/>
  <c r="G23" i="8"/>
  <c r="G24" i="8"/>
  <c r="G25" i="8"/>
  <c r="G27" i="8"/>
  <c r="G28" i="8"/>
  <c r="G29" i="8"/>
  <c r="G30" i="8"/>
  <c r="G31" i="8"/>
  <c r="G32" i="8"/>
  <c r="G33" i="8"/>
  <c r="G35" i="8"/>
  <c r="G36" i="8"/>
  <c r="G10" i="8"/>
  <c r="G11" i="8"/>
  <c r="F94" i="1"/>
  <c r="G12" i="8"/>
  <c r="G13" i="8"/>
  <c r="G38" i="8"/>
  <c r="H7" i="8"/>
  <c r="H26" i="8"/>
  <c r="H34" i="8"/>
  <c r="H17" i="8"/>
  <c r="H18" i="8"/>
  <c r="H19" i="8"/>
  <c r="H20" i="8"/>
  <c r="H21" i="8"/>
  <c r="H22" i="8"/>
  <c r="H23" i="8"/>
  <c r="H24" i="8"/>
  <c r="H25" i="8"/>
  <c r="H27" i="8"/>
  <c r="H28" i="8"/>
  <c r="H29" i="8"/>
  <c r="H30" i="8"/>
  <c r="H31" i="8"/>
  <c r="H32" i="8"/>
  <c r="H33" i="8"/>
  <c r="H35" i="8"/>
  <c r="H36" i="8"/>
  <c r="H10" i="8"/>
  <c r="H11" i="8"/>
  <c r="G94" i="1"/>
  <c r="H12" i="8"/>
  <c r="H13" i="8"/>
  <c r="H38" i="8"/>
  <c r="I7" i="8"/>
  <c r="I26" i="8"/>
  <c r="I34" i="8"/>
  <c r="I17" i="8"/>
  <c r="I18" i="8"/>
  <c r="I19" i="8"/>
  <c r="I20" i="8"/>
  <c r="I21" i="8"/>
  <c r="I22" i="8"/>
  <c r="I23" i="8"/>
  <c r="I24" i="8"/>
  <c r="I25" i="8"/>
  <c r="I27" i="8"/>
  <c r="I28" i="8"/>
  <c r="I29" i="8"/>
  <c r="I30" i="8"/>
  <c r="I31" i="8"/>
  <c r="I32" i="8"/>
  <c r="I33" i="8"/>
  <c r="I35" i="8"/>
  <c r="I36" i="8"/>
  <c r="I10" i="8"/>
  <c r="I11" i="8"/>
  <c r="H94" i="1"/>
  <c r="I12" i="8"/>
  <c r="I13" i="8"/>
  <c r="I38" i="8"/>
  <c r="J7" i="8"/>
  <c r="J26" i="8"/>
  <c r="J34" i="8"/>
  <c r="J17" i="8"/>
  <c r="J18" i="8"/>
  <c r="J19" i="8"/>
  <c r="J20" i="8"/>
  <c r="J21" i="8"/>
  <c r="J22" i="8"/>
  <c r="J23" i="8"/>
  <c r="J24" i="8"/>
  <c r="J25" i="8"/>
  <c r="J27" i="8"/>
  <c r="J28" i="8"/>
  <c r="J29" i="8"/>
  <c r="J30" i="8"/>
  <c r="J31" i="8"/>
  <c r="J32" i="8"/>
  <c r="J33" i="8"/>
  <c r="J35" i="8"/>
  <c r="J36" i="8"/>
  <c r="J10" i="8"/>
  <c r="J11" i="8"/>
  <c r="I94" i="1"/>
  <c r="J12" i="8"/>
  <c r="J13" i="8"/>
  <c r="J38" i="8"/>
  <c r="K7" i="8"/>
  <c r="K26" i="8"/>
  <c r="K34" i="8"/>
  <c r="K17" i="8"/>
  <c r="K18" i="8"/>
  <c r="K19" i="8"/>
  <c r="K20" i="8"/>
  <c r="K21" i="8"/>
  <c r="K22" i="8"/>
  <c r="K23" i="8"/>
  <c r="K24" i="8"/>
  <c r="K25" i="8"/>
  <c r="K27" i="8"/>
  <c r="K28" i="8"/>
  <c r="K29" i="8"/>
  <c r="K30" i="8"/>
  <c r="K31" i="8"/>
  <c r="K32" i="8"/>
  <c r="K33" i="8"/>
  <c r="K35" i="8"/>
  <c r="K36" i="8"/>
  <c r="K10" i="8"/>
  <c r="K11" i="8"/>
  <c r="J94" i="1"/>
  <c r="K12" i="8"/>
  <c r="K13" i="8"/>
  <c r="K38" i="8"/>
  <c r="L7" i="8"/>
  <c r="L26" i="8"/>
  <c r="L34" i="8"/>
  <c r="L17" i="8"/>
  <c r="L18" i="8"/>
  <c r="L19" i="8"/>
  <c r="L20" i="8"/>
  <c r="L21" i="8"/>
  <c r="L22" i="8"/>
  <c r="L23" i="8"/>
  <c r="L24" i="8"/>
  <c r="L25" i="8"/>
  <c r="L27" i="8"/>
  <c r="L28" i="8"/>
  <c r="L29" i="8"/>
  <c r="L30" i="8"/>
  <c r="L31" i="8"/>
  <c r="L32" i="8"/>
  <c r="L33" i="8"/>
  <c r="L35" i="8"/>
  <c r="L36" i="8"/>
  <c r="L10" i="8"/>
  <c r="L11" i="8"/>
  <c r="K94" i="1"/>
  <c r="L12" i="8"/>
  <c r="L13" i="8"/>
  <c r="L38" i="8"/>
  <c r="M7" i="8"/>
  <c r="M26" i="8"/>
  <c r="M34" i="8"/>
  <c r="M17" i="8"/>
  <c r="M18" i="8"/>
  <c r="M19" i="8"/>
  <c r="M20" i="8"/>
  <c r="M21" i="8"/>
  <c r="M22" i="8"/>
  <c r="M23" i="8"/>
  <c r="M24" i="8"/>
  <c r="M25" i="8"/>
  <c r="M27" i="8"/>
  <c r="M28" i="8"/>
  <c r="M29" i="8"/>
  <c r="M30" i="8"/>
  <c r="M31" i="8"/>
  <c r="M32" i="8"/>
  <c r="M33" i="8"/>
  <c r="M35" i="8"/>
  <c r="M36" i="8"/>
  <c r="M10" i="8"/>
  <c r="M11" i="8"/>
  <c r="L94" i="1"/>
  <c r="M12" i="8"/>
  <c r="M13" i="8"/>
  <c r="M38" i="8"/>
  <c r="N7" i="8"/>
  <c r="N26" i="8"/>
  <c r="N34" i="8"/>
  <c r="N17" i="8"/>
  <c r="N18" i="8"/>
  <c r="N19" i="8"/>
  <c r="N20" i="8"/>
  <c r="N21" i="8"/>
  <c r="N22" i="8"/>
  <c r="N23" i="8"/>
  <c r="N24" i="8"/>
  <c r="N25" i="8"/>
  <c r="N27" i="8"/>
  <c r="N28" i="8"/>
  <c r="N29" i="8"/>
  <c r="C20" i="2"/>
  <c r="E20" i="2"/>
  <c r="N30" i="8"/>
  <c r="N31" i="8"/>
  <c r="N32" i="8"/>
  <c r="N33" i="8"/>
  <c r="N35" i="8"/>
  <c r="N36" i="8"/>
  <c r="N10" i="8"/>
  <c r="N11" i="8"/>
  <c r="M94" i="1"/>
  <c r="N12" i="8"/>
  <c r="N13" i="8"/>
  <c r="N38" i="8"/>
  <c r="B7" i="9"/>
  <c r="N16" i="3"/>
  <c r="N17" i="3"/>
  <c r="N18" i="3"/>
  <c r="N19" i="3"/>
  <c r="N20" i="3"/>
  <c r="N21" i="3"/>
  <c r="N22" i="3"/>
  <c r="N23" i="3"/>
  <c r="N24" i="3"/>
  <c r="N15" i="3"/>
  <c r="N26" i="3"/>
  <c r="N28" i="3"/>
  <c r="N58" i="1"/>
  <c r="B25" i="9"/>
  <c r="N23" i="29"/>
  <c r="N28" i="29"/>
  <c r="N33" i="29"/>
  <c r="N35" i="29"/>
  <c r="N62" i="29"/>
  <c r="B21" i="2"/>
  <c r="F21" i="2"/>
  <c r="D21" i="2"/>
  <c r="B29" i="6"/>
  <c r="N67" i="29"/>
  <c r="N69" i="29"/>
  <c r="N71" i="29"/>
  <c r="N74" i="29"/>
  <c r="O16" i="3"/>
  <c r="O17" i="3"/>
  <c r="O18" i="3"/>
  <c r="O19" i="3"/>
  <c r="O20" i="3"/>
  <c r="O21" i="3"/>
  <c r="O22" i="3"/>
  <c r="O23" i="3"/>
  <c r="O24" i="3"/>
  <c r="O15" i="3"/>
  <c r="O26" i="3"/>
  <c r="O28" i="3"/>
  <c r="O58" i="1"/>
  <c r="O23" i="29"/>
  <c r="O28" i="29"/>
  <c r="O33" i="29"/>
  <c r="O35" i="29"/>
  <c r="O62" i="29"/>
  <c r="B22" i="2"/>
  <c r="C21" i="2"/>
  <c r="E21" i="2"/>
  <c r="F22" i="2"/>
  <c r="D22" i="2"/>
  <c r="C29" i="6"/>
  <c r="P16" i="3"/>
  <c r="P17" i="3"/>
  <c r="P18" i="3"/>
  <c r="P19" i="3"/>
  <c r="P20" i="3"/>
  <c r="P21" i="3"/>
  <c r="P22" i="3"/>
  <c r="P23" i="3"/>
  <c r="P24" i="3"/>
  <c r="P15" i="3"/>
  <c r="P26" i="3"/>
  <c r="P28" i="3"/>
  <c r="P58" i="1"/>
  <c r="P23" i="29"/>
  <c r="P28" i="29"/>
  <c r="P33" i="29"/>
  <c r="P35" i="29"/>
  <c r="P62" i="29"/>
  <c r="B23" i="2"/>
  <c r="C22" i="2"/>
  <c r="E22" i="2"/>
  <c r="F23" i="2"/>
  <c r="D23" i="2"/>
  <c r="D29" i="6"/>
  <c r="Q16" i="3"/>
  <c r="Q17" i="3"/>
  <c r="Q18" i="3"/>
  <c r="Q19" i="3"/>
  <c r="Q20" i="3"/>
  <c r="Q21" i="3"/>
  <c r="Q22" i="3"/>
  <c r="Q23" i="3"/>
  <c r="Q24" i="3"/>
  <c r="Q15" i="3"/>
  <c r="Q26" i="3"/>
  <c r="Q28" i="3"/>
  <c r="Q58" i="1"/>
  <c r="Q23" i="29"/>
  <c r="Q28" i="29"/>
  <c r="Q33" i="29"/>
  <c r="Q35" i="29"/>
  <c r="Q62" i="29"/>
  <c r="B24" i="2"/>
  <c r="C23" i="2"/>
  <c r="E23" i="2"/>
  <c r="F24" i="2"/>
  <c r="D24" i="2"/>
  <c r="E29" i="6"/>
  <c r="R16" i="3"/>
  <c r="R17" i="3"/>
  <c r="R18" i="3"/>
  <c r="R19" i="3"/>
  <c r="R20" i="3"/>
  <c r="R21" i="3"/>
  <c r="R22" i="3"/>
  <c r="R23" i="3"/>
  <c r="R24" i="3"/>
  <c r="R15" i="3"/>
  <c r="R26" i="3"/>
  <c r="R28" i="3"/>
  <c r="R58" i="1"/>
  <c r="R23" i="29"/>
  <c r="R28" i="29"/>
  <c r="R33" i="29"/>
  <c r="R35" i="29"/>
  <c r="R62" i="29"/>
  <c r="B25" i="2"/>
  <c r="C24" i="2"/>
  <c r="E24" i="2"/>
  <c r="F25" i="2"/>
  <c r="D25" i="2"/>
  <c r="F29" i="6"/>
  <c r="S16" i="3"/>
  <c r="S17" i="3"/>
  <c r="S18" i="3"/>
  <c r="S19" i="3"/>
  <c r="S20" i="3"/>
  <c r="S21" i="3"/>
  <c r="S22" i="3"/>
  <c r="S23" i="3"/>
  <c r="S24" i="3"/>
  <c r="S15" i="3"/>
  <c r="S26" i="3"/>
  <c r="S28" i="3"/>
  <c r="S58" i="1"/>
  <c r="S23" i="29"/>
  <c r="S28" i="29"/>
  <c r="S33" i="29"/>
  <c r="S35" i="29"/>
  <c r="S62" i="29"/>
  <c r="B26" i="2"/>
  <c r="C25" i="2"/>
  <c r="E25" i="2"/>
  <c r="F26" i="2"/>
  <c r="D26" i="2"/>
  <c r="G29" i="6"/>
  <c r="T16" i="3"/>
  <c r="T17" i="3"/>
  <c r="T18" i="3"/>
  <c r="T19" i="3"/>
  <c r="T20" i="3"/>
  <c r="T21" i="3"/>
  <c r="T22" i="3"/>
  <c r="T23" i="3"/>
  <c r="T24" i="3"/>
  <c r="T15" i="3"/>
  <c r="T26" i="3"/>
  <c r="T28" i="3"/>
  <c r="T58" i="1"/>
  <c r="T23" i="29"/>
  <c r="T28" i="29"/>
  <c r="T33" i="29"/>
  <c r="T35" i="29"/>
  <c r="T62" i="29"/>
  <c r="B27" i="2"/>
  <c r="C26" i="2"/>
  <c r="E26" i="2"/>
  <c r="F27" i="2"/>
  <c r="D27" i="2"/>
  <c r="H29" i="6"/>
  <c r="U16" i="3"/>
  <c r="U17" i="3"/>
  <c r="U18" i="3"/>
  <c r="U19" i="3"/>
  <c r="U20" i="3"/>
  <c r="U21" i="3"/>
  <c r="U22" i="3"/>
  <c r="U23" i="3"/>
  <c r="U24" i="3"/>
  <c r="U15" i="3"/>
  <c r="U26" i="3"/>
  <c r="U28" i="3"/>
  <c r="U58" i="1"/>
  <c r="U23" i="29"/>
  <c r="U28" i="29"/>
  <c r="U33" i="29"/>
  <c r="U35" i="29"/>
  <c r="U62" i="29"/>
  <c r="B28" i="2"/>
  <c r="C27" i="2"/>
  <c r="E27" i="2"/>
  <c r="F28" i="2"/>
  <c r="D28" i="2"/>
  <c r="I29" i="6"/>
  <c r="V16" i="3"/>
  <c r="V17" i="3"/>
  <c r="V18" i="3"/>
  <c r="V19" i="3"/>
  <c r="V20" i="3"/>
  <c r="V21" i="3"/>
  <c r="V22" i="3"/>
  <c r="V23" i="3"/>
  <c r="V24" i="3"/>
  <c r="V15" i="3"/>
  <c r="V26" i="3"/>
  <c r="V28" i="3"/>
  <c r="V58" i="1"/>
  <c r="V23" i="29"/>
  <c r="V28" i="29"/>
  <c r="V33" i="29"/>
  <c r="V35" i="29"/>
  <c r="V62" i="29"/>
  <c r="B29" i="2"/>
  <c r="C28" i="2"/>
  <c r="E28" i="2"/>
  <c r="F29" i="2"/>
  <c r="D29" i="2"/>
  <c r="J29" i="6"/>
  <c r="W16" i="3"/>
  <c r="W17" i="3"/>
  <c r="W18" i="3"/>
  <c r="W19" i="3"/>
  <c r="W20" i="3"/>
  <c r="W21" i="3"/>
  <c r="W22" i="3"/>
  <c r="W23" i="3"/>
  <c r="W24" i="3"/>
  <c r="W15" i="3"/>
  <c r="W26" i="3"/>
  <c r="W28" i="3"/>
  <c r="W58" i="1"/>
  <c r="W23" i="29"/>
  <c r="W28" i="29"/>
  <c r="W33" i="29"/>
  <c r="W35" i="29"/>
  <c r="W62" i="29"/>
  <c r="B30" i="2"/>
  <c r="C29" i="2"/>
  <c r="E29" i="2"/>
  <c r="F30" i="2"/>
  <c r="D30" i="2"/>
  <c r="K29" i="6"/>
  <c r="X16" i="3"/>
  <c r="X17" i="3"/>
  <c r="X18" i="3"/>
  <c r="X19" i="3"/>
  <c r="X20" i="3"/>
  <c r="X21" i="3"/>
  <c r="X22" i="3"/>
  <c r="X23" i="3"/>
  <c r="X24" i="3"/>
  <c r="X15" i="3"/>
  <c r="X26" i="3"/>
  <c r="X28" i="3"/>
  <c r="X58" i="1"/>
  <c r="X23" i="29"/>
  <c r="X28" i="29"/>
  <c r="X33" i="29"/>
  <c r="X35" i="29"/>
  <c r="X62" i="29"/>
  <c r="B31" i="2"/>
  <c r="C30" i="2"/>
  <c r="E30" i="2"/>
  <c r="F31" i="2"/>
  <c r="D31" i="2"/>
  <c r="L29" i="6"/>
  <c r="Y16" i="3"/>
  <c r="Y17" i="3"/>
  <c r="Y18" i="3"/>
  <c r="Y19" i="3"/>
  <c r="Y20" i="3"/>
  <c r="Y21" i="3"/>
  <c r="Y22" i="3"/>
  <c r="Y23" i="3"/>
  <c r="Y24" i="3"/>
  <c r="Y15" i="3"/>
  <c r="Y26" i="3"/>
  <c r="Y28" i="3"/>
  <c r="Y58" i="1"/>
  <c r="Y23" i="29"/>
  <c r="Y28" i="29"/>
  <c r="Y33" i="29"/>
  <c r="Y35" i="29"/>
  <c r="Y62" i="29"/>
  <c r="B32" i="2"/>
  <c r="C31" i="2"/>
  <c r="E31" i="2"/>
  <c r="F32" i="2"/>
  <c r="D32" i="2"/>
  <c r="M29" i="6"/>
  <c r="N36" i="6"/>
  <c r="B36" i="6"/>
  <c r="B33" i="9"/>
  <c r="B16" i="9"/>
  <c r="B17" i="9"/>
  <c r="B18" i="9"/>
  <c r="B19" i="9"/>
  <c r="B20" i="9"/>
  <c r="B21" i="9"/>
  <c r="B22" i="9"/>
  <c r="B23" i="9"/>
  <c r="B24" i="9"/>
  <c r="B26" i="9"/>
  <c r="B27" i="9"/>
  <c r="B28" i="9"/>
  <c r="B29" i="9"/>
  <c r="B30" i="9"/>
  <c r="B31" i="9"/>
  <c r="B32" i="9"/>
  <c r="B34" i="9"/>
  <c r="B35" i="9"/>
  <c r="B10" i="9"/>
  <c r="B11" i="9"/>
  <c r="B12" i="9"/>
  <c r="B37" i="9"/>
  <c r="C7" i="9"/>
  <c r="C25" i="9"/>
  <c r="C36" i="6"/>
  <c r="C33" i="9"/>
  <c r="C16" i="9"/>
  <c r="C17" i="9"/>
  <c r="C18" i="9"/>
  <c r="C19" i="9"/>
  <c r="C20" i="9"/>
  <c r="C21" i="9"/>
  <c r="C22" i="9"/>
  <c r="C23" i="9"/>
  <c r="C24" i="9"/>
  <c r="C26" i="9"/>
  <c r="C27" i="9"/>
  <c r="C28" i="9"/>
  <c r="C29" i="9"/>
  <c r="C30" i="9"/>
  <c r="C31" i="9"/>
  <c r="C32" i="9"/>
  <c r="C34" i="9"/>
  <c r="C35" i="9"/>
  <c r="C10" i="9"/>
  <c r="C11" i="9"/>
  <c r="C12" i="9"/>
  <c r="C37" i="9"/>
  <c r="D7" i="9"/>
  <c r="D25" i="9"/>
  <c r="D36" i="6"/>
  <c r="D33" i="9"/>
  <c r="D16" i="9"/>
  <c r="D17" i="9"/>
  <c r="D18" i="9"/>
  <c r="D19" i="9"/>
  <c r="D20" i="9"/>
  <c r="D21" i="9"/>
  <c r="D22" i="9"/>
  <c r="D23" i="9"/>
  <c r="D24" i="9"/>
  <c r="D26" i="9"/>
  <c r="D27" i="9"/>
  <c r="D28" i="9"/>
  <c r="D29" i="9"/>
  <c r="D30" i="9"/>
  <c r="D31" i="9"/>
  <c r="D32" i="9"/>
  <c r="D34" i="9"/>
  <c r="D35" i="9"/>
  <c r="D10" i="9"/>
  <c r="D11" i="9"/>
  <c r="D12" i="9"/>
  <c r="D37" i="9"/>
  <c r="E7" i="9"/>
  <c r="E25" i="9"/>
  <c r="E36" i="6"/>
  <c r="E33" i="9"/>
  <c r="E16" i="9"/>
  <c r="E17" i="9"/>
  <c r="E18" i="9"/>
  <c r="E19" i="9"/>
  <c r="E20" i="9"/>
  <c r="E21" i="9"/>
  <c r="E22" i="9"/>
  <c r="E23" i="9"/>
  <c r="E24" i="9"/>
  <c r="E26" i="9"/>
  <c r="E27" i="9"/>
  <c r="E28" i="9"/>
  <c r="E29" i="9"/>
  <c r="E30" i="9"/>
  <c r="E31" i="9"/>
  <c r="E32" i="9"/>
  <c r="E34" i="9"/>
  <c r="E35" i="9"/>
  <c r="E10" i="9"/>
  <c r="E11" i="9"/>
  <c r="E12" i="9"/>
  <c r="E37" i="9"/>
  <c r="F7" i="9"/>
  <c r="F25" i="9"/>
  <c r="F36" i="6"/>
  <c r="F33" i="9"/>
  <c r="F16" i="9"/>
  <c r="F17" i="9"/>
  <c r="F18" i="9"/>
  <c r="F19" i="9"/>
  <c r="F20" i="9"/>
  <c r="F21" i="9"/>
  <c r="F22" i="9"/>
  <c r="F23" i="9"/>
  <c r="F24" i="9"/>
  <c r="F26" i="9"/>
  <c r="F27" i="9"/>
  <c r="F28" i="9"/>
  <c r="F29" i="9"/>
  <c r="F30" i="9"/>
  <c r="F31" i="9"/>
  <c r="F32" i="9"/>
  <c r="F34" i="9"/>
  <c r="F35" i="9"/>
  <c r="F10" i="9"/>
  <c r="F11" i="9"/>
  <c r="F12" i="9"/>
  <c r="F37" i="9"/>
  <c r="G7" i="9"/>
  <c r="G25" i="9"/>
  <c r="G36" i="6"/>
  <c r="G33" i="9"/>
  <c r="G16" i="9"/>
  <c r="G17" i="9"/>
  <c r="G18" i="9"/>
  <c r="G19" i="9"/>
  <c r="G20" i="9"/>
  <c r="G21" i="9"/>
  <c r="G22" i="9"/>
  <c r="G23" i="9"/>
  <c r="G24" i="9"/>
  <c r="G26" i="9"/>
  <c r="G27" i="9"/>
  <c r="G28" i="9"/>
  <c r="G29" i="9"/>
  <c r="G30" i="9"/>
  <c r="G31" i="9"/>
  <c r="G32" i="9"/>
  <c r="G34" i="9"/>
  <c r="G35" i="9"/>
  <c r="G10" i="9"/>
  <c r="G11" i="9"/>
  <c r="G12" i="9"/>
  <c r="G37" i="9"/>
  <c r="H7" i="9"/>
  <c r="H25" i="9"/>
  <c r="H36" i="6"/>
  <c r="H33" i="9"/>
  <c r="H16" i="9"/>
  <c r="H17" i="9"/>
  <c r="H18" i="9"/>
  <c r="H19" i="9"/>
  <c r="H20" i="9"/>
  <c r="H21" i="9"/>
  <c r="H22" i="9"/>
  <c r="H23" i="9"/>
  <c r="H24" i="9"/>
  <c r="H26" i="9"/>
  <c r="H27" i="9"/>
  <c r="H28" i="9"/>
  <c r="H29" i="9"/>
  <c r="H30" i="9"/>
  <c r="H31" i="9"/>
  <c r="H32" i="9"/>
  <c r="H34" i="9"/>
  <c r="H35" i="9"/>
  <c r="H10" i="9"/>
  <c r="H11" i="9"/>
  <c r="H12" i="9"/>
  <c r="H37" i="9"/>
  <c r="I7" i="9"/>
  <c r="I25" i="9"/>
  <c r="I36" i="6"/>
  <c r="I33" i="9"/>
  <c r="I16" i="9"/>
  <c r="I17" i="9"/>
  <c r="I18" i="9"/>
  <c r="I19" i="9"/>
  <c r="I20" i="9"/>
  <c r="I21" i="9"/>
  <c r="I22" i="9"/>
  <c r="I23" i="9"/>
  <c r="I24" i="9"/>
  <c r="I26" i="9"/>
  <c r="I27" i="9"/>
  <c r="I28" i="9"/>
  <c r="I29" i="9"/>
  <c r="I30" i="9"/>
  <c r="I31" i="9"/>
  <c r="I32" i="9"/>
  <c r="I34" i="9"/>
  <c r="I35" i="9"/>
  <c r="I10" i="9"/>
  <c r="I11" i="9"/>
  <c r="I12" i="9"/>
  <c r="I37" i="9"/>
  <c r="J7" i="9"/>
  <c r="J25" i="9"/>
  <c r="J36" i="6"/>
  <c r="J33" i="9"/>
  <c r="J16" i="9"/>
  <c r="J17" i="9"/>
  <c r="J18" i="9"/>
  <c r="J19" i="9"/>
  <c r="J20" i="9"/>
  <c r="J21" i="9"/>
  <c r="J22" i="9"/>
  <c r="J23" i="9"/>
  <c r="J24" i="9"/>
  <c r="J26" i="9"/>
  <c r="J27" i="9"/>
  <c r="J28" i="9"/>
  <c r="J29" i="9"/>
  <c r="J30" i="9"/>
  <c r="J31" i="9"/>
  <c r="J32" i="9"/>
  <c r="J34" i="9"/>
  <c r="J35" i="9"/>
  <c r="J10" i="9"/>
  <c r="J11" i="9"/>
  <c r="J12" i="9"/>
  <c r="J37" i="9"/>
  <c r="K7" i="9"/>
  <c r="K25" i="9"/>
  <c r="K36" i="6"/>
  <c r="K33" i="9"/>
  <c r="K16" i="9"/>
  <c r="K17" i="9"/>
  <c r="K18" i="9"/>
  <c r="K19" i="9"/>
  <c r="K20" i="9"/>
  <c r="K21" i="9"/>
  <c r="K22" i="9"/>
  <c r="K23" i="9"/>
  <c r="K24" i="9"/>
  <c r="K26" i="9"/>
  <c r="K27" i="9"/>
  <c r="K28" i="9"/>
  <c r="K29" i="9"/>
  <c r="K30" i="9"/>
  <c r="K31" i="9"/>
  <c r="K32" i="9"/>
  <c r="K34" i="9"/>
  <c r="K35" i="9"/>
  <c r="K10" i="9"/>
  <c r="K11" i="9"/>
  <c r="K12" i="9"/>
  <c r="K37" i="9"/>
  <c r="L7" i="9"/>
  <c r="L25" i="9"/>
  <c r="L36" i="6"/>
  <c r="L33" i="9"/>
  <c r="L16" i="9"/>
  <c r="L17" i="9"/>
  <c r="L18" i="9"/>
  <c r="L19" i="9"/>
  <c r="L20" i="9"/>
  <c r="L21" i="9"/>
  <c r="L22" i="9"/>
  <c r="L23" i="9"/>
  <c r="L24" i="9"/>
  <c r="L26" i="9"/>
  <c r="L27" i="9"/>
  <c r="L28" i="9"/>
  <c r="L29" i="9"/>
  <c r="L30" i="9"/>
  <c r="L31" i="9"/>
  <c r="L32" i="9"/>
  <c r="L34" i="9"/>
  <c r="L35" i="9"/>
  <c r="L10" i="9"/>
  <c r="L11" i="9"/>
  <c r="L12" i="9"/>
  <c r="L37" i="9"/>
  <c r="M7" i="9"/>
  <c r="M25" i="9"/>
  <c r="M36" i="6"/>
  <c r="M33" i="9"/>
  <c r="M16" i="9"/>
  <c r="M17" i="9"/>
  <c r="M18" i="9"/>
  <c r="M19" i="9"/>
  <c r="M20" i="9"/>
  <c r="M21" i="9"/>
  <c r="M22" i="9"/>
  <c r="M23" i="9"/>
  <c r="M24" i="9"/>
  <c r="M26" i="9"/>
  <c r="M27" i="9"/>
  <c r="M28" i="9"/>
  <c r="C32" i="2"/>
  <c r="E32" i="2"/>
  <c r="M29" i="9"/>
  <c r="M30" i="9"/>
  <c r="M31" i="9"/>
  <c r="M32" i="9"/>
  <c r="M34" i="9"/>
  <c r="M35" i="9"/>
  <c r="M10" i="9"/>
  <c r="M11" i="9"/>
  <c r="M12" i="9"/>
  <c r="M37" i="9"/>
  <c r="B7" i="10"/>
  <c r="Z16" i="3"/>
  <c r="Z17" i="3"/>
  <c r="Z18" i="3"/>
  <c r="Z19" i="3"/>
  <c r="Z20" i="3"/>
  <c r="Z21" i="3"/>
  <c r="Z22" i="3"/>
  <c r="Z23" i="3"/>
  <c r="Z24" i="3"/>
  <c r="Z15" i="3"/>
  <c r="Z26" i="3"/>
  <c r="Z28" i="3"/>
  <c r="Z58" i="1"/>
  <c r="B25" i="10"/>
  <c r="Z23" i="29"/>
  <c r="Z28" i="29"/>
  <c r="Z33" i="29"/>
  <c r="Z35" i="29"/>
  <c r="Z62" i="29"/>
  <c r="B33" i="2"/>
  <c r="F33" i="2"/>
  <c r="D33" i="2"/>
  <c r="B29" i="7"/>
  <c r="AA16" i="3"/>
  <c r="AA17" i="3"/>
  <c r="AA18" i="3"/>
  <c r="AA19" i="3"/>
  <c r="AA20" i="3"/>
  <c r="AA21" i="3"/>
  <c r="AA22" i="3"/>
  <c r="AA23" i="3"/>
  <c r="AA24" i="3"/>
  <c r="AA15" i="3"/>
  <c r="AA26" i="3"/>
  <c r="AA28" i="3"/>
  <c r="AA58" i="1"/>
  <c r="AA23" i="29"/>
  <c r="AA28" i="29"/>
  <c r="AA33" i="29"/>
  <c r="AA35" i="29"/>
  <c r="AA62" i="29"/>
  <c r="B34" i="2"/>
  <c r="C33" i="2"/>
  <c r="E33" i="2"/>
  <c r="F34" i="2"/>
  <c r="D34" i="2"/>
  <c r="C29" i="7"/>
  <c r="AB16" i="3"/>
  <c r="AB17" i="3"/>
  <c r="AB18" i="3"/>
  <c r="AB19" i="3"/>
  <c r="AB20" i="3"/>
  <c r="AB21" i="3"/>
  <c r="AB22" i="3"/>
  <c r="AB23" i="3"/>
  <c r="AB24" i="3"/>
  <c r="AB15" i="3"/>
  <c r="AB26" i="3"/>
  <c r="AB28" i="3"/>
  <c r="AB58" i="1"/>
  <c r="AB23" i="29"/>
  <c r="AB28" i="29"/>
  <c r="AB33" i="29"/>
  <c r="AB35" i="29"/>
  <c r="AB62" i="29"/>
  <c r="B35" i="2"/>
  <c r="C34" i="2"/>
  <c r="E34" i="2"/>
  <c r="F35" i="2"/>
  <c r="D35" i="2"/>
  <c r="D29" i="7"/>
  <c r="AC16" i="3"/>
  <c r="AC17" i="3"/>
  <c r="AC18" i="3"/>
  <c r="AC19" i="3"/>
  <c r="AC20" i="3"/>
  <c r="AC21" i="3"/>
  <c r="AC22" i="3"/>
  <c r="AC23" i="3"/>
  <c r="AC24" i="3"/>
  <c r="AC15" i="3"/>
  <c r="AC26" i="3"/>
  <c r="AC28" i="3"/>
  <c r="AC58" i="1"/>
  <c r="AC23" i="29"/>
  <c r="AC28" i="29"/>
  <c r="AC33" i="29"/>
  <c r="AC35" i="29"/>
  <c r="AC62" i="29"/>
  <c r="B36" i="2"/>
  <c r="C35" i="2"/>
  <c r="E35" i="2"/>
  <c r="F36" i="2"/>
  <c r="D36" i="2"/>
  <c r="E29" i="7"/>
  <c r="AD16" i="3"/>
  <c r="AD17" i="3"/>
  <c r="AD18" i="3"/>
  <c r="AD19" i="3"/>
  <c r="AD20" i="3"/>
  <c r="AD21" i="3"/>
  <c r="AD22" i="3"/>
  <c r="AD23" i="3"/>
  <c r="AD24" i="3"/>
  <c r="AD15" i="3"/>
  <c r="AD26" i="3"/>
  <c r="AD28" i="3"/>
  <c r="AD58" i="1"/>
  <c r="AD23" i="29"/>
  <c r="AD28" i="29"/>
  <c r="AD33" i="29"/>
  <c r="AD35" i="29"/>
  <c r="AD62" i="29"/>
  <c r="B37" i="2"/>
  <c r="C36" i="2"/>
  <c r="E36" i="2"/>
  <c r="F37" i="2"/>
  <c r="D37" i="2"/>
  <c r="F29" i="7"/>
  <c r="AE16" i="3"/>
  <c r="AE17" i="3"/>
  <c r="AE18" i="3"/>
  <c r="AE19" i="3"/>
  <c r="AE20" i="3"/>
  <c r="AE21" i="3"/>
  <c r="AE22" i="3"/>
  <c r="AE23" i="3"/>
  <c r="AE24" i="3"/>
  <c r="AE15" i="3"/>
  <c r="AE26" i="3"/>
  <c r="AE28" i="3"/>
  <c r="AE58" i="1"/>
  <c r="AE23" i="29"/>
  <c r="AE28" i="29"/>
  <c r="AE33" i="29"/>
  <c r="AE35" i="29"/>
  <c r="AE62" i="29"/>
  <c r="B38" i="2"/>
  <c r="C37" i="2"/>
  <c r="E37" i="2"/>
  <c r="F38" i="2"/>
  <c r="D38" i="2"/>
  <c r="G29" i="7"/>
  <c r="AF16" i="3"/>
  <c r="AF17" i="3"/>
  <c r="AF18" i="3"/>
  <c r="AF19" i="3"/>
  <c r="AF20" i="3"/>
  <c r="AF21" i="3"/>
  <c r="AF22" i="3"/>
  <c r="AF23" i="3"/>
  <c r="AF24" i="3"/>
  <c r="AF15" i="3"/>
  <c r="AF26" i="3"/>
  <c r="AF28" i="3"/>
  <c r="AF58" i="1"/>
  <c r="AF23" i="29"/>
  <c r="AF28" i="29"/>
  <c r="AF33" i="29"/>
  <c r="AF35" i="29"/>
  <c r="AF62" i="29"/>
  <c r="B39" i="2"/>
  <c r="C38" i="2"/>
  <c r="E38" i="2"/>
  <c r="F39" i="2"/>
  <c r="D39" i="2"/>
  <c r="H29" i="7"/>
  <c r="AG16" i="3"/>
  <c r="AG17" i="3"/>
  <c r="AG18" i="3"/>
  <c r="AG19" i="3"/>
  <c r="AG20" i="3"/>
  <c r="AG21" i="3"/>
  <c r="AG22" i="3"/>
  <c r="AG23" i="3"/>
  <c r="AG24" i="3"/>
  <c r="AG15" i="3"/>
  <c r="AG26" i="3"/>
  <c r="AG28" i="3"/>
  <c r="AG58" i="1"/>
  <c r="AG23" i="29"/>
  <c r="AG28" i="29"/>
  <c r="AG33" i="29"/>
  <c r="AG35" i="29"/>
  <c r="AG62" i="29"/>
  <c r="B40" i="2"/>
  <c r="C39" i="2"/>
  <c r="E39" i="2"/>
  <c r="F40" i="2"/>
  <c r="D40" i="2"/>
  <c r="I29" i="7"/>
  <c r="AH16" i="3"/>
  <c r="AH17" i="3"/>
  <c r="AH18" i="3"/>
  <c r="AH19" i="3"/>
  <c r="AH20" i="3"/>
  <c r="AH21" i="3"/>
  <c r="AH22" i="3"/>
  <c r="AH23" i="3"/>
  <c r="AH24" i="3"/>
  <c r="AH15" i="3"/>
  <c r="AH26" i="3"/>
  <c r="AH28" i="3"/>
  <c r="AH58" i="1"/>
  <c r="AH23" i="29"/>
  <c r="AH28" i="29"/>
  <c r="AH33" i="29"/>
  <c r="AH35" i="29"/>
  <c r="AH62" i="29"/>
  <c r="B41" i="2"/>
  <c r="C40" i="2"/>
  <c r="E40" i="2"/>
  <c r="F41" i="2"/>
  <c r="D41" i="2"/>
  <c r="J29" i="7"/>
  <c r="AI16" i="3"/>
  <c r="AI17" i="3"/>
  <c r="AI18" i="3"/>
  <c r="AI19" i="3"/>
  <c r="AI20" i="3"/>
  <c r="AI21" i="3"/>
  <c r="AI22" i="3"/>
  <c r="AI23" i="3"/>
  <c r="AI24" i="3"/>
  <c r="AI15" i="3"/>
  <c r="AI26" i="3"/>
  <c r="AI28" i="3"/>
  <c r="AI58" i="1"/>
  <c r="AI23" i="29"/>
  <c r="AI28" i="29"/>
  <c r="AI33" i="29"/>
  <c r="AI35" i="29"/>
  <c r="AI62" i="29"/>
  <c r="B42" i="2"/>
  <c r="C41" i="2"/>
  <c r="E41" i="2"/>
  <c r="F42" i="2"/>
  <c r="D42" i="2"/>
  <c r="K29" i="7"/>
  <c r="AJ16" i="3"/>
  <c r="AJ17" i="3"/>
  <c r="AJ18" i="3"/>
  <c r="AJ19" i="3"/>
  <c r="AJ20" i="3"/>
  <c r="AJ21" i="3"/>
  <c r="AJ22" i="3"/>
  <c r="AJ23" i="3"/>
  <c r="AJ24" i="3"/>
  <c r="AJ15" i="3"/>
  <c r="AJ26" i="3"/>
  <c r="AJ28" i="3"/>
  <c r="AJ58" i="1"/>
  <c r="AJ23" i="29"/>
  <c r="AJ28" i="29"/>
  <c r="AJ33" i="29"/>
  <c r="AJ35" i="29"/>
  <c r="AJ62" i="29"/>
  <c r="B43" i="2"/>
  <c r="C42" i="2"/>
  <c r="E42" i="2"/>
  <c r="F43" i="2"/>
  <c r="D43" i="2"/>
  <c r="L29" i="7"/>
  <c r="AK16" i="3"/>
  <c r="AK17" i="3"/>
  <c r="AK18" i="3"/>
  <c r="AK19" i="3"/>
  <c r="AK20" i="3"/>
  <c r="AK21" i="3"/>
  <c r="AK22" i="3"/>
  <c r="AK23" i="3"/>
  <c r="AK24" i="3"/>
  <c r="AK15" i="3"/>
  <c r="AK26" i="3"/>
  <c r="AK28" i="3"/>
  <c r="AK58" i="1"/>
  <c r="AK23" i="29"/>
  <c r="AK28" i="29"/>
  <c r="AK33" i="29"/>
  <c r="AK35" i="29"/>
  <c r="AK62" i="29"/>
  <c r="B44" i="2"/>
  <c r="C43" i="2"/>
  <c r="E43" i="2"/>
  <c r="F44" i="2"/>
  <c r="D44" i="2"/>
  <c r="M29" i="7"/>
  <c r="N36" i="7"/>
  <c r="B36" i="7"/>
  <c r="B33" i="10"/>
  <c r="B16" i="10"/>
  <c r="B17" i="10"/>
  <c r="B18" i="10"/>
  <c r="B19" i="10"/>
  <c r="B20" i="10"/>
  <c r="B21" i="10"/>
  <c r="B22" i="10"/>
  <c r="B23" i="10"/>
  <c r="B24" i="10"/>
  <c r="B26" i="10"/>
  <c r="B27" i="10"/>
  <c r="B28" i="10"/>
  <c r="B29" i="10"/>
  <c r="B30" i="10"/>
  <c r="B31" i="10"/>
  <c r="B32" i="10"/>
  <c r="B34" i="10"/>
  <c r="B35" i="10"/>
  <c r="B10" i="10"/>
  <c r="B11" i="10"/>
  <c r="B12" i="10"/>
  <c r="B37" i="10"/>
  <c r="C7" i="10"/>
  <c r="C25" i="10"/>
  <c r="C36" i="7"/>
  <c r="C33" i="10"/>
  <c r="C16" i="10"/>
  <c r="C17" i="10"/>
  <c r="C18" i="10"/>
  <c r="C19" i="10"/>
  <c r="C20" i="10"/>
  <c r="C21" i="10"/>
  <c r="C22" i="10"/>
  <c r="C23" i="10"/>
  <c r="C24" i="10"/>
  <c r="C26" i="10"/>
  <c r="C27" i="10"/>
  <c r="C28" i="10"/>
  <c r="C29" i="10"/>
  <c r="C30" i="10"/>
  <c r="C31" i="10"/>
  <c r="C32" i="10"/>
  <c r="C34" i="10"/>
  <c r="C35" i="10"/>
  <c r="C10" i="10"/>
  <c r="C11" i="10"/>
  <c r="C12" i="10"/>
  <c r="C37" i="10"/>
  <c r="D7" i="10"/>
  <c r="D25" i="10"/>
  <c r="D36" i="7"/>
  <c r="D33" i="10"/>
  <c r="D16" i="10"/>
  <c r="D17" i="10"/>
  <c r="D18" i="10"/>
  <c r="D19" i="10"/>
  <c r="D20" i="10"/>
  <c r="D21" i="10"/>
  <c r="D22" i="10"/>
  <c r="D23" i="10"/>
  <c r="D24" i="10"/>
  <c r="D26" i="10"/>
  <c r="D27" i="10"/>
  <c r="D28" i="10"/>
  <c r="D29" i="10"/>
  <c r="D30" i="10"/>
  <c r="D31" i="10"/>
  <c r="D32" i="10"/>
  <c r="D34" i="10"/>
  <c r="D35" i="10"/>
  <c r="D10" i="10"/>
  <c r="D11" i="10"/>
  <c r="D12" i="10"/>
  <c r="D37" i="10"/>
  <c r="E7" i="10"/>
  <c r="E25" i="10"/>
  <c r="E36" i="7"/>
  <c r="E33" i="10"/>
  <c r="E16" i="10"/>
  <c r="E17" i="10"/>
  <c r="E18" i="10"/>
  <c r="E19" i="10"/>
  <c r="E20" i="10"/>
  <c r="E21" i="10"/>
  <c r="E22" i="10"/>
  <c r="E23" i="10"/>
  <c r="E24" i="10"/>
  <c r="E26" i="10"/>
  <c r="E27" i="10"/>
  <c r="E28" i="10"/>
  <c r="E29" i="10"/>
  <c r="E30" i="10"/>
  <c r="E31" i="10"/>
  <c r="E32" i="10"/>
  <c r="E34" i="10"/>
  <c r="E35" i="10"/>
  <c r="E10" i="10"/>
  <c r="E11" i="10"/>
  <c r="E12" i="10"/>
  <c r="E37" i="10"/>
  <c r="F7" i="10"/>
  <c r="F25" i="10"/>
  <c r="F36" i="7"/>
  <c r="F33" i="10"/>
  <c r="F16" i="10"/>
  <c r="F17" i="10"/>
  <c r="F18" i="10"/>
  <c r="F19" i="10"/>
  <c r="F20" i="10"/>
  <c r="F21" i="10"/>
  <c r="F22" i="10"/>
  <c r="F23" i="10"/>
  <c r="F24" i="10"/>
  <c r="F26" i="10"/>
  <c r="F27" i="10"/>
  <c r="F28" i="10"/>
  <c r="F29" i="10"/>
  <c r="F30" i="10"/>
  <c r="F31" i="10"/>
  <c r="F32" i="10"/>
  <c r="F34" i="10"/>
  <c r="F35" i="10"/>
  <c r="F10" i="10"/>
  <c r="F11" i="10"/>
  <c r="F12" i="10"/>
  <c r="F37" i="10"/>
  <c r="G7" i="10"/>
  <c r="G25" i="10"/>
  <c r="G36" i="7"/>
  <c r="G33" i="10"/>
  <c r="G16" i="10"/>
  <c r="G17" i="10"/>
  <c r="G18" i="10"/>
  <c r="G19" i="10"/>
  <c r="G20" i="10"/>
  <c r="G21" i="10"/>
  <c r="G22" i="10"/>
  <c r="G23" i="10"/>
  <c r="G24" i="10"/>
  <c r="G26" i="10"/>
  <c r="G27" i="10"/>
  <c r="G28" i="10"/>
  <c r="G29" i="10"/>
  <c r="G30" i="10"/>
  <c r="G31" i="10"/>
  <c r="G32" i="10"/>
  <c r="G34" i="10"/>
  <c r="G35" i="10"/>
  <c r="G10" i="10"/>
  <c r="G11" i="10"/>
  <c r="G12" i="10"/>
  <c r="G37" i="10"/>
  <c r="H7" i="10"/>
  <c r="H25" i="10"/>
  <c r="H36" i="7"/>
  <c r="H33" i="10"/>
  <c r="H16" i="10"/>
  <c r="H17" i="10"/>
  <c r="H18" i="10"/>
  <c r="H19" i="10"/>
  <c r="H20" i="10"/>
  <c r="H21" i="10"/>
  <c r="H22" i="10"/>
  <c r="H23" i="10"/>
  <c r="H24" i="10"/>
  <c r="H26" i="10"/>
  <c r="H27" i="10"/>
  <c r="H28" i="10"/>
  <c r="H29" i="10"/>
  <c r="H30" i="10"/>
  <c r="H31" i="10"/>
  <c r="H32" i="10"/>
  <c r="H34" i="10"/>
  <c r="H35" i="10"/>
  <c r="H10" i="10"/>
  <c r="H11" i="10"/>
  <c r="H12" i="10"/>
  <c r="H37" i="10"/>
  <c r="I7" i="10"/>
  <c r="I25" i="10"/>
  <c r="I36" i="7"/>
  <c r="I33" i="10"/>
  <c r="I16" i="10"/>
  <c r="I17" i="10"/>
  <c r="I18" i="10"/>
  <c r="I19" i="10"/>
  <c r="I20" i="10"/>
  <c r="I21" i="10"/>
  <c r="I22" i="10"/>
  <c r="I23" i="10"/>
  <c r="I24" i="10"/>
  <c r="I26" i="10"/>
  <c r="I27" i="10"/>
  <c r="I28" i="10"/>
  <c r="I29" i="10"/>
  <c r="I30" i="10"/>
  <c r="I31" i="10"/>
  <c r="I32" i="10"/>
  <c r="I34" i="10"/>
  <c r="I35" i="10"/>
  <c r="I10" i="10"/>
  <c r="I11" i="10"/>
  <c r="I12" i="10"/>
  <c r="I37" i="10"/>
  <c r="J7" i="10"/>
  <c r="J25" i="10"/>
  <c r="J36" i="7"/>
  <c r="J33" i="10"/>
  <c r="J16" i="10"/>
  <c r="J17" i="10"/>
  <c r="J18" i="10"/>
  <c r="J19" i="10"/>
  <c r="J20" i="10"/>
  <c r="J21" i="10"/>
  <c r="J22" i="10"/>
  <c r="J23" i="10"/>
  <c r="J24" i="10"/>
  <c r="J26" i="10"/>
  <c r="J27" i="10"/>
  <c r="J28" i="10"/>
  <c r="J29" i="10"/>
  <c r="J30" i="10"/>
  <c r="J31" i="10"/>
  <c r="J32" i="10"/>
  <c r="J34" i="10"/>
  <c r="J35" i="10"/>
  <c r="J10" i="10"/>
  <c r="J11" i="10"/>
  <c r="J12" i="10"/>
  <c r="J37" i="10"/>
  <c r="K7" i="10"/>
  <c r="K25" i="10"/>
  <c r="K36" i="7"/>
  <c r="K33" i="10"/>
  <c r="K16" i="10"/>
  <c r="K17" i="10"/>
  <c r="K18" i="10"/>
  <c r="K19" i="10"/>
  <c r="K20" i="10"/>
  <c r="K21" i="10"/>
  <c r="K22" i="10"/>
  <c r="K23" i="10"/>
  <c r="K24" i="10"/>
  <c r="K26" i="10"/>
  <c r="K27" i="10"/>
  <c r="K28" i="10"/>
  <c r="K29" i="10"/>
  <c r="K30" i="10"/>
  <c r="K31" i="10"/>
  <c r="K32" i="10"/>
  <c r="K34" i="10"/>
  <c r="K35" i="10"/>
  <c r="K10" i="10"/>
  <c r="K11" i="10"/>
  <c r="K12" i="10"/>
  <c r="K37" i="10"/>
  <c r="L7" i="10"/>
  <c r="L25" i="10"/>
  <c r="L36" i="7"/>
  <c r="L33" i="10"/>
  <c r="L16" i="10"/>
  <c r="L17" i="10"/>
  <c r="L18" i="10"/>
  <c r="L19" i="10"/>
  <c r="L20" i="10"/>
  <c r="L21" i="10"/>
  <c r="L22" i="10"/>
  <c r="L23" i="10"/>
  <c r="L24" i="10"/>
  <c r="L26" i="10"/>
  <c r="L27" i="10"/>
  <c r="L28" i="10"/>
  <c r="L29" i="10"/>
  <c r="L30" i="10"/>
  <c r="L31" i="10"/>
  <c r="L32" i="10"/>
  <c r="L34" i="10"/>
  <c r="L35" i="10"/>
  <c r="L10" i="10"/>
  <c r="L11" i="10"/>
  <c r="L12" i="10"/>
  <c r="L37" i="10"/>
  <c r="M7" i="10"/>
  <c r="M25" i="10"/>
  <c r="M36" i="7"/>
  <c r="M33" i="10"/>
  <c r="M16" i="10"/>
  <c r="M17" i="10"/>
  <c r="M18" i="10"/>
  <c r="M19" i="10"/>
  <c r="M20" i="10"/>
  <c r="M21" i="10"/>
  <c r="M22" i="10"/>
  <c r="M23" i="10"/>
  <c r="M24" i="10"/>
  <c r="M26" i="10"/>
  <c r="M27" i="10"/>
  <c r="M28" i="10"/>
  <c r="C44" i="2"/>
  <c r="E44" i="2"/>
  <c r="M29" i="10"/>
  <c r="M30" i="10"/>
  <c r="M31" i="10"/>
  <c r="M32" i="10"/>
  <c r="M34" i="10"/>
  <c r="M35" i="10"/>
  <c r="M10" i="10"/>
  <c r="M11" i="10"/>
  <c r="M12" i="10"/>
  <c r="M37" i="10"/>
  <c r="B7" i="24"/>
  <c r="AL16" i="3"/>
  <c r="AL17" i="3"/>
  <c r="AL18" i="3"/>
  <c r="AL19" i="3"/>
  <c r="AL20" i="3"/>
  <c r="AL21" i="3"/>
  <c r="AL22" i="3"/>
  <c r="AL23" i="3"/>
  <c r="AL24" i="3"/>
  <c r="AL15" i="3"/>
  <c r="AL26" i="3"/>
  <c r="AL28" i="3"/>
  <c r="AL58" i="1"/>
  <c r="B25" i="24"/>
  <c r="AL23" i="29"/>
  <c r="AL28" i="29"/>
  <c r="AL33" i="29"/>
  <c r="AL35" i="29"/>
  <c r="AL62" i="29"/>
  <c r="B45" i="2"/>
  <c r="F45" i="2"/>
  <c r="D45" i="2"/>
  <c r="B29" i="21"/>
  <c r="AM16" i="3"/>
  <c r="AM17" i="3"/>
  <c r="AM18" i="3"/>
  <c r="AM19" i="3"/>
  <c r="AM20" i="3"/>
  <c r="AM21" i="3"/>
  <c r="AM22" i="3"/>
  <c r="AM23" i="3"/>
  <c r="AM24" i="3"/>
  <c r="AM15" i="3"/>
  <c r="AM26" i="3"/>
  <c r="AM28" i="3"/>
  <c r="AM58" i="1"/>
  <c r="AM23" i="29"/>
  <c r="AM28" i="29"/>
  <c r="AM33" i="29"/>
  <c r="AM35" i="29"/>
  <c r="AM62" i="29"/>
  <c r="B46" i="2"/>
  <c r="C45" i="2"/>
  <c r="E45" i="2"/>
  <c r="F46" i="2"/>
  <c r="D46" i="2"/>
  <c r="C29" i="21"/>
  <c r="AN16" i="3"/>
  <c r="AN17" i="3"/>
  <c r="AN18" i="3"/>
  <c r="AN19" i="3"/>
  <c r="AN20" i="3"/>
  <c r="AN21" i="3"/>
  <c r="AN22" i="3"/>
  <c r="AN23" i="3"/>
  <c r="AN24" i="3"/>
  <c r="AN15" i="3"/>
  <c r="AN26" i="3"/>
  <c r="AN28" i="3"/>
  <c r="AN58" i="1"/>
  <c r="AN23" i="29"/>
  <c r="AN28" i="29"/>
  <c r="AN33" i="29"/>
  <c r="AN35" i="29"/>
  <c r="AN62" i="29"/>
  <c r="B47" i="2"/>
  <c r="C46" i="2"/>
  <c r="E46" i="2"/>
  <c r="F47" i="2"/>
  <c r="D47" i="2"/>
  <c r="D29" i="21"/>
  <c r="AO16" i="3"/>
  <c r="AO17" i="3"/>
  <c r="AO18" i="3"/>
  <c r="AO19" i="3"/>
  <c r="AO20" i="3"/>
  <c r="AO21" i="3"/>
  <c r="AO22" i="3"/>
  <c r="AO23" i="3"/>
  <c r="AO24" i="3"/>
  <c r="AO15" i="3"/>
  <c r="AO26" i="3"/>
  <c r="AO28" i="3"/>
  <c r="AO58" i="1"/>
  <c r="AO23" i="29"/>
  <c r="AO28" i="29"/>
  <c r="AO33" i="29"/>
  <c r="AO35" i="29"/>
  <c r="AO62" i="29"/>
  <c r="B48" i="2"/>
  <c r="C47" i="2"/>
  <c r="E47" i="2"/>
  <c r="F48" i="2"/>
  <c r="D48" i="2"/>
  <c r="E29" i="21"/>
  <c r="AP16" i="3"/>
  <c r="AP17" i="3"/>
  <c r="AP18" i="3"/>
  <c r="AP19" i="3"/>
  <c r="AP20" i="3"/>
  <c r="AP21" i="3"/>
  <c r="AP22" i="3"/>
  <c r="AP23" i="3"/>
  <c r="AP24" i="3"/>
  <c r="AP15" i="3"/>
  <c r="AP26" i="3"/>
  <c r="AP28" i="3"/>
  <c r="AP58" i="1"/>
  <c r="AP23" i="29"/>
  <c r="AP28" i="29"/>
  <c r="AP33" i="29"/>
  <c r="AP35" i="29"/>
  <c r="AP62" i="29"/>
  <c r="B49" i="2"/>
  <c r="C48" i="2"/>
  <c r="E48" i="2"/>
  <c r="F49" i="2"/>
  <c r="D49" i="2"/>
  <c r="F29" i="21"/>
  <c r="AQ16" i="3"/>
  <c r="AQ17" i="3"/>
  <c r="AQ18" i="3"/>
  <c r="AQ19" i="3"/>
  <c r="AQ20" i="3"/>
  <c r="AQ21" i="3"/>
  <c r="AQ22" i="3"/>
  <c r="AQ23" i="3"/>
  <c r="AQ24" i="3"/>
  <c r="AQ15" i="3"/>
  <c r="AQ26" i="3"/>
  <c r="AQ28" i="3"/>
  <c r="AQ58" i="1"/>
  <c r="AQ23" i="29"/>
  <c r="AQ28" i="29"/>
  <c r="AQ33" i="29"/>
  <c r="AQ35" i="29"/>
  <c r="AQ62" i="29"/>
  <c r="B50" i="2"/>
  <c r="C49" i="2"/>
  <c r="E49" i="2"/>
  <c r="F50" i="2"/>
  <c r="D50" i="2"/>
  <c r="G29" i="21"/>
  <c r="AR16" i="3"/>
  <c r="AR17" i="3"/>
  <c r="AR18" i="3"/>
  <c r="AR19" i="3"/>
  <c r="AR20" i="3"/>
  <c r="AR21" i="3"/>
  <c r="AR22" i="3"/>
  <c r="AR23" i="3"/>
  <c r="AR24" i="3"/>
  <c r="AR15" i="3"/>
  <c r="AR26" i="3"/>
  <c r="AR28" i="3"/>
  <c r="AR58" i="1"/>
  <c r="AR23" i="29"/>
  <c r="AR28" i="29"/>
  <c r="AR33" i="29"/>
  <c r="AR35" i="29"/>
  <c r="AR62" i="29"/>
  <c r="B51" i="2"/>
  <c r="C50" i="2"/>
  <c r="E50" i="2"/>
  <c r="F51" i="2"/>
  <c r="D51" i="2"/>
  <c r="H29" i="21"/>
  <c r="AS16" i="3"/>
  <c r="AS17" i="3"/>
  <c r="AS18" i="3"/>
  <c r="AS19" i="3"/>
  <c r="AS20" i="3"/>
  <c r="AS21" i="3"/>
  <c r="AS22" i="3"/>
  <c r="AS23" i="3"/>
  <c r="AS24" i="3"/>
  <c r="AS15" i="3"/>
  <c r="AS26" i="3"/>
  <c r="AS28" i="3"/>
  <c r="AS58" i="1"/>
  <c r="AS23" i="29"/>
  <c r="AS28" i="29"/>
  <c r="AS33" i="29"/>
  <c r="AS35" i="29"/>
  <c r="AS62" i="29"/>
  <c r="B52" i="2"/>
  <c r="C51" i="2"/>
  <c r="E51" i="2"/>
  <c r="F52" i="2"/>
  <c r="D52" i="2"/>
  <c r="I29" i="21"/>
  <c r="AT16" i="3"/>
  <c r="AT17" i="3"/>
  <c r="AT18" i="3"/>
  <c r="AT19" i="3"/>
  <c r="AT20" i="3"/>
  <c r="AT21" i="3"/>
  <c r="AT22" i="3"/>
  <c r="AT23" i="3"/>
  <c r="AT24" i="3"/>
  <c r="AT15" i="3"/>
  <c r="AT26" i="3"/>
  <c r="AT28" i="3"/>
  <c r="AT58" i="1"/>
  <c r="AT23" i="29"/>
  <c r="AT28" i="29"/>
  <c r="AT33" i="29"/>
  <c r="AT35" i="29"/>
  <c r="AT62" i="29"/>
  <c r="B53" i="2"/>
  <c r="C52" i="2"/>
  <c r="E52" i="2"/>
  <c r="F53" i="2"/>
  <c r="D53" i="2"/>
  <c r="J29" i="21"/>
  <c r="AU16" i="3"/>
  <c r="AU17" i="3"/>
  <c r="AU18" i="3"/>
  <c r="AU19" i="3"/>
  <c r="AU20" i="3"/>
  <c r="AU21" i="3"/>
  <c r="AU22" i="3"/>
  <c r="AU23" i="3"/>
  <c r="AU24" i="3"/>
  <c r="AU15" i="3"/>
  <c r="AU26" i="3"/>
  <c r="AU28" i="3"/>
  <c r="AU58" i="1"/>
  <c r="AU23" i="29"/>
  <c r="AU28" i="29"/>
  <c r="AU33" i="29"/>
  <c r="AU35" i="29"/>
  <c r="AU62" i="29"/>
  <c r="B54" i="2"/>
  <c r="C53" i="2"/>
  <c r="E53" i="2"/>
  <c r="F54" i="2"/>
  <c r="D54" i="2"/>
  <c r="K29" i="21"/>
  <c r="AV16" i="3"/>
  <c r="AV17" i="3"/>
  <c r="AV18" i="3"/>
  <c r="AV19" i="3"/>
  <c r="AV20" i="3"/>
  <c r="AV21" i="3"/>
  <c r="AV22" i="3"/>
  <c r="AV23" i="3"/>
  <c r="AV24" i="3"/>
  <c r="AV15" i="3"/>
  <c r="AV26" i="3"/>
  <c r="AV28" i="3"/>
  <c r="AV58" i="1"/>
  <c r="AV23" i="29"/>
  <c r="AV28" i="29"/>
  <c r="AV33" i="29"/>
  <c r="AV35" i="29"/>
  <c r="AV62" i="29"/>
  <c r="B55" i="2"/>
  <c r="C54" i="2"/>
  <c r="E54" i="2"/>
  <c r="F55" i="2"/>
  <c r="D55" i="2"/>
  <c r="L29" i="21"/>
  <c r="AW16" i="3"/>
  <c r="AW17" i="3"/>
  <c r="AW18" i="3"/>
  <c r="AW19" i="3"/>
  <c r="AW20" i="3"/>
  <c r="AW21" i="3"/>
  <c r="AW22" i="3"/>
  <c r="AW23" i="3"/>
  <c r="AW24" i="3"/>
  <c r="AW15" i="3"/>
  <c r="AW26" i="3"/>
  <c r="AW28" i="3"/>
  <c r="AW58" i="1"/>
  <c r="AW23" i="29"/>
  <c r="AW28" i="29"/>
  <c r="AW33" i="29"/>
  <c r="AW35" i="29"/>
  <c r="AW62" i="29"/>
  <c r="B56" i="2"/>
  <c r="C55" i="2"/>
  <c r="E55" i="2"/>
  <c r="F56" i="2"/>
  <c r="D56" i="2"/>
  <c r="M29" i="21"/>
  <c r="N36" i="21"/>
  <c r="B36" i="21"/>
  <c r="B33" i="24"/>
  <c r="B16" i="24"/>
  <c r="B17" i="24"/>
  <c r="B18" i="24"/>
  <c r="B19" i="24"/>
  <c r="B20" i="24"/>
  <c r="B21" i="24"/>
  <c r="B22" i="24"/>
  <c r="B23" i="24"/>
  <c r="B24" i="24"/>
  <c r="B26" i="24"/>
  <c r="B27" i="24"/>
  <c r="B28" i="24"/>
  <c r="B29" i="24"/>
  <c r="B30" i="24"/>
  <c r="B31" i="24"/>
  <c r="B32" i="24"/>
  <c r="B34" i="24"/>
  <c r="B35" i="24"/>
  <c r="B10" i="24"/>
  <c r="B11" i="24"/>
  <c r="B12" i="24"/>
  <c r="B37" i="24"/>
  <c r="C7" i="24"/>
  <c r="C25" i="24"/>
  <c r="C36" i="21"/>
  <c r="C33" i="24"/>
  <c r="C16" i="24"/>
  <c r="C17" i="24"/>
  <c r="C18" i="24"/>
  <c r="C19" i="24"/>
  <c r="C20" i="24"/>
  <c r="C21" i="24"/>
  <c r="C22" i="24"/>
  <c r="C23" i="24"/>
  <c r="C24" i="24"/>
  <c r="C26" i="24"/>
  <c r="C27" i="24"/>
  <c r="C28" i="24"/>
  <c r="C29" i="24"/>
  <c r="C30" i="24"/>
  <c r="C31" i="24"/>
  <c r="C32" i="24"/>
  <c r="C34" i="24"/>
  <c r="C35" i="24"/>
  <c r="C10" i="24"/>
  <c r="C11" i="24"/>
  <c r="C12" i="24"/>
  <c r="C37" i="24"/>
  <c r="D7" i="24"/>
  <c r="D25" i="24"/>
  <c r="D36" i="21"/>
  <c r="D33" i="24"/>
  <c r="D16" i="24"/>
  <c r="D17" i="24"/>
  <c r="D18" i="24"/>
  <c r="D19" i="24"/>
  <c r="D20" i="24"/>
  <c r="D21" i="24"/>
  <c r="D22" i="24"/>
  <c r="D23" i="24"/>
  <c r="D24" i="24"/>
  <c r="D26" i="24"/>
  <c r="D27" i="24"/>
  <c r="D28" i="24"/>
  <c r="D29" i="24"/>
  <c r="D30" i="24"/>
  <c r="D31" i="24"/>
  <c r="D32" i="24"/>
  <c r="D34" i="24"/>
  <c r="D35" i="24"/>
  <c r="D10" i="24"/>
  <c r="D11" i="24"/>
  <c r="D12" i="24"/>
  <c r="D37" i="24"/>
  <c r="E7" i="24"/>
  <c r="E25" i="24"/>
  <c r="E36" i="21"/>
  <c r="E33" i="24"/>
  <c r="E16" i="24"/>
  <c r="E17" i="24"/>
  <c r="E18" i="24"/>
  <c r="E19" i="24"/>
  <c r="E20" i="24"/>
  <c r="E21" i="24"/>
  <c r="E22" i="24"/>
  <c r="E23" i="24"/>
  <c r="E24" i="24"/>
  <c r="E26" i="24"/>
  <c r="E27" i="24"/>
  <c r="E28" i="24"/>
  <c r="E29" i="24"/>
  <c r="E30" i="24"/>
  <c r="E31" i="24"/>
  <c r="E32" i="24"/>
  <c r="E34" i="24"/>
  <c r="E35" i="24"/>
  <c r="E10" i="24"/>
  <c r="E11" i="24"/>
  <c r="E12" i="24"/>
  <c r="E37" i="24"/>
  <c r="F7" i="24"/>
  <c r="F25" i="24"/>
  <c r="F36" i="21"/>
  <c r="F33" i="24"/>
  <c r="F16" i="24"/>
  <c r="F17" i="24"/>
  <c r="F18" i="24"/>
  <c r="F19" i="24"/>
  <c r="F20" i="24"/>
  <c r="F21" i="24"/>
  <c r="F22" i="24"/>
  <c r="F23" i="24"/>
  <c r="F24" i="24"/>
  <c r="F26" i="24"/>
  <c r="F27" i="24"/>
  <c r="F28" i="24"/>
  <c r="F29" i="24"/>
  <c r="F30" i="24"/>
  <c r="F31" i="24"/>
  <c r="F32" i="24"/>
  <c r="F34" i="24"/>
  <c r="F35" i="24"/>
  <c r="F10" i="24"/>
  <c r="F11" i="24"/>
  <c r="F12" i="24"/>
  <c r="F37" i="24"/>
  <c r="G7" i="24"/>
  <c r="G25" i="24"/>
  <c r="G36" i="21"/>
  <c r="G33" i="24"/>
  <c r="G16" i="24"/>
  <c r="G17" i="24"/>
  <c r="G18" i="24"/>
  <c r="G19" i="24"/>
  <c r="G20" i="24"/>
  <c r="G21" i="24"/>
  <c r="G22" i="24"/>
  <c r="G23" i="24"/>
  <c r="G24" i="24"/>
  <c r="G26" i="24"/>
  <c r="G27" i="24"/>
  <c r="G28" i="24"/>
  <c r="G29" i="24"/>
  <c r="G30" i="24"/>
  <c r="G31" i="24"/>
  <c r="G32" i="24"/>
  <c r="G34" i="24"/>
  <c r="G35" i="24"/>
  <c r="G10" i="24"/>
  <c r="G11" i="24"/>
  <c r="G12" i="24"/>
  <c r="G37" i="24"/>
  <c r="H7" i="24"/>
  <c r="H25" i="24"/>
  <c r="H36" i="21"/>
  <c r="H33" i="24"/>
  <c r="H16" i="24"/>
  <c r="H17" i="24"/>
  <c r="H18" i="24"/>
  <c r="H19" i="24"/>
  <c r="H20" i="24"/>
  <c r="H21" i="24"/>
  <c r="H22" i="24"/>
  <c r="H23" i="24"/>
  <c r="H24" i="24"/>
  <c r="H26" i="24"/>
  <c r="H27" i="24"/>
  <c r="H28" i="24"/>
  <c r="H29" i="24"/>
  <c r="H30" i="24"/>
  <c r="H31" i="24"/>
  <c r="H32" i="24"/>
  <c r="H34" i="24"/>
  <c r="H35" i="24"/>
  <c r="H10" i="24"/>
  <c r="H11" i="24"/>
  <c r="H12" i="24"/>
  <c r="H37" i="24"/>
  <c r="I7" i="24"/>
  <c r="I25" i="24"/>
  <c r="I36" i="21"/>
  <c r="I33" i="24"/>
  <c r="I16" i="24"/>
  <c r="I17" i="24"/>
  <c r="I18" i="24"/>
  <c r="I19" i="24"/>
  <c r="I20" i="24"/>
  <c r="I21" i="24"/>
  <c r="I22" i="24"/>
  <c r="I23" i="24"/>
  <c r="I24" i="24"/>
  <c r="I26" i="24"/>
  <c r="I27" i="24"/>
  <c r="I28" i="24"/>
  <c r="I29" i="24"/>
  <c r="I30" i="24"/>
  <c r="I31" i="24"/>
  <c r="I32" i="24"/>
  <c r="I34" i="24"/>
  <c r="I35" i="24"/>
  <c r="I10" i="24"/>
  <c r="I11" i="24"/>
  <c r="I12" i="24"/>
  <c r="I37" i="24"/>
  <c r="J7" i="24"/>
  <c r="J25" i="24"/>
  <c r="J36" i="21"/>
  <c r="J33" i="24"/>
  <c r="J16" i="24"/>
  <c r="J17" i="24"/>
  <c r="J18" i="24"/>
  <c r="J19" i="24"/>
  <c r="J20" i="24"/>
  <c r="J21" i="24"/>
  <c r="J22" i="24"/>
  <c r="J23" i="24"/>
  <c r="J24" i="24"/>
  <c r="J26" i="24"/>
  <c r="J27" i="24"/>
  <c r="J28" i="24"/>
  <c r="J29" i="24"/>
  <c r="J30" i="24"/>
  <c r="J31" i="24"/>
  <c r="J32" i="24"/>
  <c r="J34" i="24"/>
  <c r="J35" i="24"/>
  <c r="J10" i="24"/>
  <c r="J11" i="24"/>
  <c r="J12" i="24"/>
  <c r="J37" i="24"/>
  <c r="K7" i="24"/>
  <c r="K25" i="24"/>
  <c r="K36" i="21"/>
  <c r="K33" i="24"/>
  <c r="K16" i="24"/>
  <c r="K17" i="24"/>
  <c r="K18" i="24"/>
  <c r="K19" i="24"/>
  <c r="K20" i="24"/>
  <c r="K21" i="24"/>
  <c r="K22" i="24"/>
  <c r="K23" i="24"/>
  <c r="K24" i="24"/>
  <c r="K26" i="24"/>
  <c r="K27" i="24"/>
  <c r="K28" i="24"/>
  <c r="K29" i="24"/>
  <c r="K30" i="24"/>
  <c r="K31" i="24"/>
  <c r="K32" i="24"/>
  <c r="K34" i="24"/>
  <c r="K35" i="24"/>
  <c r="K10" i="24"/>
  <c r="K11" i="24"/>
  <c r="K12" i="24"/>
  <c r="K37" i="24"/>
  <c r="L7" i="24"/>
  <c r="L25" i="24"/>
  <c r="L36" i="21"/>
  <c r="L33" i="24"/>
  <c r="L16" i="24"/>
  <c r="L17" i="24"/>
  <c r="L18" i="24"/>
  <c r="L19" i="24"/>
  <c r="L20" i="24"/>
  <c r="L21" i="24"/>
  <c r="L22" i="24"/>
  <c r="L23" i="24"/>
  <c r="L24" i="24"/>
  <c r="L26" i="24"/>
  <c r="L27" i="24"/>
  <c r="L28" i="24"/>
  <c r="L29" i="24"/>
  <c r="L30" i="24"/>
  <c r="L31" i="24"/>
  <c r="L32" i="24"/>
  <c r="L34" i="24"/>
  <c r="L35" i="24"/>
  <c r="L10" i="24"/>
  <c r="L11" i="24"/>
  <c r="L12" i="24"/>
  <c r="L37" i="24"/>
  <c r="M7" i="24"/>
  <c r="M25" i="24"/>
  <c r="M36" i="21"/>
  <c r="M33" i="24"/>
  <c r="M16" i="24"/>
  <c r="M17" i="24"/>
  <c r="M18" i="24"/>
  <c r="M19" i="24"/>
  <c r="M20" i="24"/>
  <c r="M21" i="24"/>
  <c r="M22" i="24"/>
  <c r="M23" i="24"/>
  <c r="M24" i="24"/>
  <c r="M26" i="24"/>
  <c r="M27" i="24"/>
  <c r="M28" i="24"/>
  <c r="C56" i="2"/>
  <c r="E56" i="2"/>
  <c r="M29" i="24"/>
  <c r="M30" i="24"/>
  <c r="M31" i="24"/>
  <c r="M32" i="24"/>
  <c r="M34" i="24"/>
  <c r="M35" i="24"/>
  <c r="M10" i="24"/>
  <c r="M11" i="24"/>
  <c r="M12" i="24"/>
  <c r="M37" i="24"/>
  <c r="B7" i="23"/>
  <c r="AX16" i="3"/>
  <c r="AX17" i="3"/>
  <c r="AX18" i="3"/>
  <c r="AX19" i="3"/>
  <c r="AX20" i="3"/>
  <c r="AX21" i="3"/>
  <c r="AX22" i="3"/>
  <c r="AX23" i="3"/>
  <c r="AX24" i="3"/>
  <c r="AX15" i="3"/>
  <c r="AX26" i="3"/>
  <c r="AX28" i="3"/>
  <c r="AX58" i="1"/>
  <c r="B25" i="23"/>
  <c r="AX23" i="29"/>
  <c r="AX28" i="29"/>
  <c r="AX33" i="29"/>
  <c r="AX35" i="29"/>
  <c r="AX62" i="29"/>
  <c r="B57" i="2"/>
  <c r="F57" i="2"/>
  <c r="D57" i="2"/>
  <c r="B29" i="22"/>
  <c r="AY16" i="3"/>
  <c r="AY17" i="3"/>
  <c r="AY18" i="3"/>
  <c r="AY19" i="3"/>
  <c r="AY20" i="3"/>
  <c r="AY21" i="3"/>
  <c r="AY22" i="3"/>
  <c r="AY23" i="3"/>
  <c r="AY24" i="3"/>
  <c r="AY15" i="3"/>
  <c r="AY26" i="3"/>
  <c r="AY28" i="3"/>
  <c r="AY58" i="1"/>
  <c r="AY23" i="29"/>
  <c r="AY28" i="29"/>
  <c r="AY33" i="29"/>
  <c r="AY35" i="29"/>
  <c r="AY62" i="29"/>
  <c r="B58" i="2"/>
  <c r="C57" i="2"/>
  <c r="E57" i="2"/>
  <c r="F58" i="2"/>
  <c r="D58" i="2"/>
  <c r="C29" i="22"/>
  <c r="AZ16" i="3"/>
  <c r="AZ17" i="3"/>
  <c r="AZ18" i="3"/>
  <c r="AZ19" i="3"/>
  <c r="AZ20" i="3"/>
  <c r="AZ21" i="3"/>
  <c r="AZ22" i="3"/>
  <c r="AZ23" i="3"/>
  <c r="AZ24" i="3"/>
  <c r="AZ15" i="3"/>
  <c r="AZ26" i="3"/>
  <c r="AZ28" i="3"/>
  <c r="AZ58" i="1"/>
  <c r="AZ23" i="29"/>
  <c r="AZ28" i="29"/>
  <c r="AZ33" i="29"/>
  <c r="AZ35" i="29"/>
  <c r="AZ62" i="29"/>
  <c r="B59" i="2"/>
  <c r="C58" i="2"/>
  <c r="E58" i="2"/>
  <c r="F59" i="2"/>
  <c r="D59" i="2"/>
  <c r="D29" i="22"/>
  <c r="BA16" i="3"/>
  <c r="BA17" i="3"/>
  <c r="BA18" i="3"/>
  <c r="BA19" i="3"/>
  <c r="BA20" i="3"/>
  <c r="BA21" i="3"/>
  <c r="BA22" i="3"/>
  <c r="BA23" i="3"/>
  <c r="BA24" i="3"/>
  <c r="BA15" i="3"/>
  <c r="BA26" i="3"/>
  <c r="BA28" i="3"/>
  <c r="BA58" i="1"/>
  <c r="BA23" i="29"/>
  <c r="BA28" i="29"/>
  <c r="BA33" i="29"/>
  <c r="BA35" i="29"/>
  <c r="BA62" i="29"/>
  <c r="B60" i="2"/>
  <c r="C59" i="2"/>
  <c r="E59" i="2"/>
  <c r="F60" i="2"/>
  <c r="D60" i="2"/>
  <c r="E29" i="22"/>
  <c r="BB16" i="3"/>
  <c r="BB17" i="3"/>
  <c r="BB18" i="3"/>
  <c r="BB19" i="3"/>
  <c r="BB20" i="3"/>
  <c r="BB21" i="3"/>
  <c r="BB22" i="3"/>
  <c r="BB23" i="3"/>
  <c r="BB24" i="3"/>
  <c r="BB15" i="3"/>
  <c r="BB26" i="3"/>
  <c r="BB28" i="3"/>
  <c r="BB58" i="1"/>
  <c r="BB23" i="29"/>
  <c r="BB28" i="29"/>
  <c r="BB33" i="29"/>
  <c r="BB35" i="29"/>
  <c r="BB62" i="29"/>
  <c r="B61" i="2"/>
  <c r="C60" i="2"/>
  <c r="E60" i="2"/>
  <c r="F61" i="2"/>
  <c r="D61" i="2"/>
  <c r="F29" i="22"/>
  <c r="BC16" i="3"/>
  <c r="BC17" i="3"/>
  <c r="BC18" i="3"/>
  <c r="BC19" i="3"/>
  <c r="BC20" i="3"/>
  <c r="BC21" i="3"/>
  <c r="BC22" i="3"/>
  <c r="BC23" i="3"/>
  <c r="BC24" i="3"/>
  <c r="BC15" i="3"/>
  <c r="BC26" i="3"/>
  <c r="BC28" i="3"/>
  <c r="BC58" i="1"/>
  <c r="BC23" i="29"/>
  <c r="BC28" i="29"/>
  <c r="BC33" i="29"/>
  <c r="BC35" i="29"/>
  <c r="BC62" i="29"/>
  <c r="B62" i="2"/>
  <c r="C61" i="2"/>
  <c r="E61" i="2"/>
  <c r="F62" i="2"/>
  <c r="D62" i="2"/>
  <c r="G29" i="22"/>
  <c r="BD16" i="3"/>
  <c r="BD17" i="3"/>
  <c r="BD18" i="3"/>
  <c r="BD19" i="3"/>
  <c r="BD20" i="3"/>
  <c r="BD21" i="3"/>
  <c r="BD22" i="3"/>
  <c r="BD23" i="3"/>
  <c r="BD24" i="3"/>
  <c r="BD15" i="3"/>
  <c r="BD26" i="3"/>
  <c r="BD28" i="3"/>
  <c r="BD58" i="1"/>
  <c r="BD23" i="29"/>
  <c r="BD28" i="29"/>
  <c r="BD33" i="29"/>
  <c r="BD35" i="29"/>
  <c r="BD62" i="29"/>
  <c r="B63" i="2"/>
  <c r="C62" i="2"/>
  <c r="E62" i="2"/>
  <c r="F63" i="2"/>
  <c r="D63" i="2"/>
  <c r="H29" i="22"/>
  <c r="BE16" i="3"/>
  <c r="BE17" i="3"/>
  <c r="BE18" i="3"/>
  <c r="BE19" i="3"/>
  <c r="BE20" i="3"/>
  <c r="BE21" i="3"/>
  <c r="BE22" i="3"/>
  <c r="BE23" i="3"/>
  <c r="BE24" i="3"/>
  <c r="BE15" i="3"/>
  <c r="BE26" i="3"/>
  <c r="BE28" i="3"/>
  <c r="BE58" i="1"/>
  <c r="BE23" i="29"/>
  <c r="BE28" i="29"/>
  <c r="BE33" i="29"/>
  <c r="BE35" i="29"/>
  <c r="BE62" i="29"/>
  <c r="B64" i="2"/>
  <c r="C63" i="2"/>
  <c r="E63" i="2"/>
  <c r="F64" i="2"/>
  <c r="D64" i="2"/>
  <c r="I29" i="22"/>
  <c r="BF16" i="3"/>
  <c r="BF17" i="3"/>
  <c r="BF18" i="3"/>
  <c r="BF19" i="3"/>
  <c r="BF20" i="3"/>
  <c r="BF21" i="3"/>
  <c r="BF22" i="3"/>
  <c r="BF23" i="3"/>
  <c r="BF24" i="3"/>
  <c r="BF15" i="3"/>
  <c r="BF26" i="3"/>
  <c r="BF28" i="3"/>
  <c r="BF58" i="1"/>
  <c r="BF23" i="29"/>
  <c r="BF28" i="29"/>
  <c r="BF33" i="29"/>
  <c r="BF35" i="29"/>
  <c r="BF62" i="29"/>
  <c r="B65" i="2"/>
  <c r="C64" i="2"/>
  <c r="E64" i="2"/>
  <c r="F65" i="2"/>
  <c r="D65" i="2"/>
  <c r="J29" i="22"/>
  <c r="BG16" i="3"/>
  <c r="BG17" i="3"/>
  <c r="BG18" i="3"/>
  <c r="BG19" i="3"/>
  <c r="BG20" i="3"/>
  <c r="BG21" i="3"/>
  <c r="BG22" i="3"/>
  <c r="BG23" i="3"/>
  <c r="BG24" i="3"/>
  <c r="BG15" i="3"/>
  <c r="BG26" i="3"/>
  <c r="BG28" i="3"/>
  <c r="BG58" i="1"/>
  <c r="BG23" i="29"/>
  <c r="BG28" i="29"/>
  <c r="BG33" i="29"/>
  <c r="BG35" i="29"/>
  <c r="BG62" i="29"/>
  <c r="B66" i="2"/>
  <c r="C65" i="2"/>
  <c r="E65" i="2"/>
  <c r="F66" i="2"/>
  <c r="D66" i="2"/>
  <c r="K29" i="22"/>
  <c r="BH16" i="3"/>
  <c r="BH17" i="3"/>
  <c r="BH18" i="3"/>
  <c r="BH19" i="3"/>
  <c r="BH20" i="3"/>
  <c r="BH21" i="3"/>
  <c r="BH22" i="3"/>
  <c r="BH23" i="3"/>
  <c r="BH24" i="3"/>
  <c r="BH15" i="3"/>
  <c r="BH26" i="3"/>
  <c r="BH28" i="3"/>
  <c r="BH58" i="1"/>
  <c r="BH23" i="29"/>
  <c r="BH28" i="29"/>
  <c r="BH33" i="29"/>
  <c r="BH35" i="29"/>
  <c r="BH62" i="29"/>
  <c r="B67" i="2"/>
  <c r="C66" i="2"/>
  <c r="E66" i="2"/>
  <c r="F67" i="2"/>
  <c r="D67" i="2"/>
  <c r="L29" i="22"/>
  <c r="BI16" i="3"/>
  <c r="BI17" i="3"/>
  <c r="BI18" i="3"/>
  <c r="BI19" i="3"/>
  <c r="BI20" i="3"/>
  <c r="BI21" i="3"/>
  <c r="BI22" i="3"/>
  <c r="BI23" i="3"/>
  <c r="BI24" i="3"/>
  <c r="BI15" i="3"/>
  <c r="BI26" i="3"/>
  <c r="BI28" i="3"/>
  <c r="BI58" i="1"/>
  <c r="BI23" i="29"/>
  <c r="BI28" i="29"/>
  <c r="BI33" i="29"/>
  <c r="BI35" i="29"/>
  <c r="BI62" i="29"/>
  <c r="B68" i="2"/>
  <c r="C67" i="2"/>
  <c r="E67" i="2"/>
  <c r="F68" i="2"/>
  <c r="D68" i="2"/>
  <c r="M29" i="22"/>
  <c r="N36" i="22"/>
  <c r="B36" i="22"/>
  <c r="B33" i="23"/>
  <c r="B16" i="23"/>
  <c r="B17" i="23"/>
  <c r="B18" i="23"/>
  <c r="B19" i="23"/>
  <c r="B20" i="23"/>
  <c r="B21" i="23"/>
  <c r="B22" i="23"/>
  <c r="B23" i="23"/>
  <c r="B24" i="23"/>
  <c r="B26" i="23"/>
  <c r="B27" i="23"/>
  <c r="B28" i="23"/>
  <c r="B29" i="23"/>
  <c r="B30" i="23"/>
  <c r="B31" i="23"/>
  <c r="B32" i="23"/>
  <c r="B34" i="23"/>
  <c r="B35" i="23"/>
  <c r="B10" i="23"/>
  <c r="B11" i="23"/>
  <c r="B12" i="23"/>
  <c r="B37" i="23"/>
  <c r="C7" i="23"/>
  <c r="C25" i="23"/>
  <c r="C36" i="22"/>
  <c r="C33" i="23"/>
  <c r="C16" i="23"/>
  <c r="C17" i="23"/>
  <c r="C18" i="23"/>
  <c r="C19" i="23"/>
  <c r="C20" i="23"/>
  <c r="C21" i="23"/>
  <c r="C22" i="23"/>
  <c r="C23" i="23"/>
  <c r="C24" i="23"/>
  <c r="C26" i="23"/>
  <c r="C27" i="23"/>
  <c r="C28" i="23"/>
  <c r="C29" i="23"/>
  <c r="C30" i="23"/>
  <c r="C31" i="23"/>
  <c r="C32" i="23"/>
  <c r="C34" i="23"/>
  <c r="C35" i="23"/>
  <c r="C10" i="23"/>
  <c r="C11" i="23"/>
  <c r="C12" i="23"/>
  <c r="C37" i="23"/>
  <c r="C9" i="25"/>
  <c r="C10" i="11"/>
  <c r="D10" i="11"/>
  <c r="E10" i="11"/>
  <c r="F10" i="11"/>
  <c r="G10" i="11"/>
  <c r="H10" i="11"/>
  <c r="I10" i="11"/>
  <c r="J10" i="11"/>
  <c r="K10" i="11"/>
  <c r="L10" i="11"/>
  <c r="M10" i="11"/>
  <c r="N10" i="11"/>
  <c r="B10" i="12"/>
  <c r="C10" i="12"/>
  <c r="D10" i="12"/>
  <c r="E10" i="12"/>
  <c r="F10" i="12"/>
  <c r="G10" i="12"/>
  <c r="H10" i="12"/>
  <c r="I10" i="12"/>
  <c r="J10" i="12"/>
  <c r="K10" i="12"/>
  <c r="L10" i="12"/>
  <c r="M10" i="12"/>
  <c r="B10" i="13"/>
  <c r="C10" i="13"/>
  <c r="D10" i="13"/>
  <c r="E10" i="13"/>
  <c r="F10" i="13"/>
  <c r="G10" i="13"/>
  <c r="H10" i="13"/>
  <c r="I10" i="13"/>
  <c r="J10" i="13"/>
  <c r="K10" i="13"/>
  <c r="L10" i="13"/>
  <c r="M10" i="13"/>
  <c r="B10" i="26"/>
  <c r="C10" i="26"/>
  <c r="D10" i="26"/>
  <c r="E10" i="26"/>
  <c r="F10" i="26"/>
  <c r="G10" i="26"/>
  <c r="H10" i="26"/>
  <c r="I10" i="26"/>
  <c r="J10" i="26"/>
  <c r="K10" i="26"/>
  <c r="L10" i="26"/>
  <c r="M10" i="26"/>
  <c r="B10" i="25"/>
  <c r="C10" i="25"/>
  <c r="C11" i="25"/>
  <c r="C12" i="25"/>
  <c r="B15" i="11"/>
  <c r="C15" i="11"/>
  <c r="D15" i="11"/>
  <c r="E15" i="11"/>
  <c r="F15" i="11"/>
  <c r="G15" i="11"/>
  <c r="H15" i="11"/>
  <c r="I15" i="11"/>
  <c r="J15" i="11"/>
  <c r="K15" i="11"/>
  <c r="L15" i="11"/>
  <c r="M15" i="11"/>
  <c r="N15" i="11"/>
  <c r="B15" i="12"/>
  <c r="C15" i="12"/>
  <c r="D15" i="12"/>
  <c r="E15" i="12"/>
  <c r="F15" i="12"/>
  <c r="G15" i="12"/>
  <c r="H15" i="12"/>
  <c r="I15" i="12"/>
  <c r="J15" i="12"/>
  <c r="K15" i="12"/>
  <c r="L15" i="12"/>
  <c r="M15" i="12"/>
  <c r="B15" i="13"/>
  <c r="C15" i="13"/>
  <c r="D15" i="13"/>
  <c r="E15" i="13"/>
  <c r="F15" i="13"/>
  <c r="G15" i="13"/>
  <c r="H15" i="13"/>
  <c r="I15" i="13"/>
  <c r="J15" i="13"/>
  <c r="K15" i="13"/>
  <c r="L15" i="13"/>
  <c r="M15" i="13"/>
  <c r="B15" i="26"/>
  <c r="C15" i="26"/>
  <c r="D15" i="26"/>
  <c r="E15" i="26"/>
  <c r="F15" i="26"/>
  <c r="G15" i="26"/>
  <c r="H15" i="26"/>
  <c r="I15" i="26"/>
  <c r="J15" i="26"/>
  <c r="K15" i="26"/>
  <c r="L15" i="26"/>
  <c r="M15" i="26"/>
  <c r="B15" i="25"/>
  <c r="C15" i="25"/>
  <c r="B16" i="11"/>
  <c r="C16" i="11"/>
  <c r="D16" i="11"/>
  <c r="E16" i="11"/>
  <c r="F16" i="11"/>
  <c r="G16" i="11"/>
  <c r="H16" i="11"/>
  <c r="I16" i="11"/>
  <c r="J16" i="11"/>
  <c r="K16" i="11"/>
  <c r="L16" i="11"/>
  <c r="M16" i="11"/>
  <c r="N16" i="11"/>
  <c r="B16" i="12"/>
  <c r="C16" i="12"/>
  <c r="D16" i="12"/>
  <c r="E16" i="12"/>
  <c r="F16" i="12"/>
  <c r="G16" i="12"/>
  <c r="H16" i="12"/>
  <c r="I16" i="12"/>
  <c r="J16" i="12"/>
  <c r="K16" i="12"/>
  <c r="L16" i="12"/>
  <c r="M16" i="12"/>
  <c r="B16" i="13"/>
  <c r="C16" i="13"/>
  <c r="D16" i="13"/>
  <c r="E16" i="13"/>
  <c r="F16" i="13"/>
  <c r="G16" i="13"/>
  <c r="H16" i="13"/>
  <c r="I16" i="13"/>
  <c r="J16" i="13"/>
  <c r="K16" i="13"/>
  <c r="L16" i="13"/>
  <c r="M16" i="13"/>
  <c r="B16" i="26"/>
  <c r="C16" i="26"/>
  <c r="D16" i="26"/>
  <c r="E16" i="26"/>
  <c r="F16" i="26"/>
  <c r="G16" i="26"/>
  <c r="H16" i="26"/>
  <c r="I16" i="26"/>
  <c r="J16" i="26"/>
  <c r="K16" i="26"/>
  <c r="L16" i="26"/>
  <c r="M16" i="26"/>
  <c r="B16" i="25"/>
  <c r="C16" i="25"/>
  <c r="B17" i="11"/>
  <c r="C17" i="11"/>
  <c r="D17" i="11"/>
  <c r="E17" i="11"/>
  <c r="F17" i="11"/>
  <c r="G17" i="11"/>
  <c r="H17" i="11"/>
  <c r="I17" i="11"/>
  <c r="J17" i="11"/>
  <c r="K17" i="11"/>
  <c r="L17" i="11"/>
  <c r="M17" i="11"/>
  <c r="N17" i="11"/>
  <c r="B17" i="12"/>
  <c r="C17" i="12"/>
  <c r="D17" i="12"/>
  <c r="E17" i="12"/>
  <c r="F17" i="12"/>
  <c r="G17" i="12"/>
  <c r="H17" i="12"/>
  <c r="I17" i="12"/>
  <c r="J17" i="12"/>
  <c r="K17" i="12"/>
  <c r="L17" i="12"/>
  <c r="M17" i="12"/>
  <c r="B17" i="13"/>
  <c r="C17" i="13"/>
  <c r="D17" i="13"/>
  <c r="E17" i="13"/>
  <c r="F17" i="13"/>
  <c r="G17" i="13"/>
  <c r="H17" i="13"/>
  <c r="I17" i="13"/>
  <c r="J17" i="13"/>
  <c r="K17" i="13"/>
  <c r="L17" i="13"/>
  <c r="M17" i="13"/>
  <c r="B17" i="26"/>
  <c r="C17" i="26"/>
  <c r="D17" i="26"/>
  <c r="E17" i="26"/>
  <c r="F17" i="26"/>
  <c r="G17" i="26"/>
  <c r="H17" i="26"/>
  <c r="I17" i="26"/>
  <c r="J17" i="26"/>
  <c r="K17" i="26"/>
  <c r="L17" i="26"/>
  <c r="M17" i="26"/>
  <c r="B17" i="25"/>
  <c r="C17" i="25"/>
  <c r="C18" i="25"/>
  <c r="C20" i="25"/>
  <c r="B9" i="11"/>
  <c r="B10" i="11"/>
  <c r="B11" i="11"/>
  <c r="B12" i="11"/>
  <c r="B18" i="11"/>
  <c r="B20" i="11"/>
  <c r="B24" i="11"/>
  <c r="B25" i="11"/>
  <c r="B28" i="11"/>
  <c r="B29" i="11"/>
  <c r="B31" i="11"/>
  <c r="B12" i="4"/>
  <c r="B35" i="11"/>
  <c r="B34" i="11"/>
  <c r="B37" i="11"/>
  <c r="C36" i="11"/>
  <c r="C37" i="11"/>
  <c r="D36" i="11"/>
  <c r="D37" i="11"/>
  <c r="E36" i="11"/>
  <c r="E37" i="11"/>
  <c r="F36" i="11"/>
  <c r="F37" i="11"/>
  <c r="G36" i="11"/>
  <c r="G37" i="11"/>
  <c r="H36" i="11"/>
  <c r="H37" i="11"/>
  <c r="I36" i="11"/>
  <c r="I37" i="11"/>
  <c r="J36" i="11"/>
  <c r="J37" i="11"/>
  <c r="K36" i="11"/>
  <c r="K37" i="11"/>
  <c r="L36" i="11"/>
  <c r="L37" i="11"/>
  <c r="M36" i="11"/>
  <c r="M37" i="11"/>
  <c r="N36" i="11"/>
  <c r="N37" i="11"/>
  <c r="B38" i="6"/>
  <c r="B36" i="12"/>
  <c r="B37" i="12"/>
  <c r="C38" i="6"/>
  <c r="C36" i="12"/>
  <c r="C37" i="12"/>
  <c r="D38" i="6"/>
  <c r="D36" i="12"/>
  <c r="D37" i="12"/>
  <c r="E38" i="6"/>
  <c r="E36" i="12"/>
  <c r="E37" i="12"/>
  <c r="F38" i="6"/>
  <c r="F36" i="12"/>
  <c r="F37" i="12"/>
  <c r="G38" i="6"/>
  <c r="G36" i="12"/>
  <c r="G37" i="12"/>
  <c r="H38" i="6"/>
  <c r="H36" i="12"/>
  <c r="H37" i="12"/>
  <c r="I38" i="6"/>
  <c r="I36" i="12"/>
  <c r="I37" i="12"/>
  <c r="J38" i="6"/>
  <c r="J36" i="12"/>
  <c r="J37" i="12"/>
  <c r="K38" i="6"/>
  <c r="K36" i="12"/>
  <c r="K37" i="12"/>
  <c r="L38" i="6"/>
  <c r="L36" i="12"/>
  <c r="L37" i="12"/>
  <c r="M38" i="6"/>
  <c r="M36" i="12"/>
  <c r="M37" i="12"/>
  <c r="B38" i="7"/>
  <c r="B36" i="13"/>
  <c r="B37" i="13"/>
  <c r="C38" i="7"/>
  <c r="C36" i="13"/>
  <c r="C37" i="13"/>
  <c r="D38" i="7"/>
  <c r="D36" i="13"/>
  <c r="D37" i="13"/>
  <c r="E38" i="7"/>
  <c r="E36" i="13"/>
  <c r="E37" i="13"/>
  <c r="F38" i="7"/>
  <c r="F36" i="13"/>
  <c r="F37" i="13"/>
  <c r="G38" i="7"/>
  <c r="G36" i="13"/>
  <c r="G37" i="13"/>
  <c r="H38" i="7"/>
  <c r="H36" i="13"/>
  <c r="H37" i="13"/>
  <c r="I38" i="7"/>
  <c r="I36" i="13"/>
  <c r="I37" i="13"/>
  <c r="J38" i="7"/>
  <c r="J36" i="13"/>
  <c r="J37" i="13"/>
  <c r="K38" i="7"/>
  <c r="K36" i="13"/>
  <c r="K37" i="13"/>
  <c r="L38" i="7"/>
  <c r="L36" i="13"/>
  <c r="L37" i="13"/>
  <c r="M38" i="7"/>
  <c r="M36" i="13"/>
  <c r="M37" i="13"/>
  <c r="B38" i="21"/>
  <c r="B36" i="26"/>
  <c r="B37" i="26"/>
  <c r="C38" i="21"/>
  <c r="C36" i="26"/>
  <c r="C37" i="26"/>
  <c r="D38" i="21"/>
  <c r="D36" i="26"/>
  <c r="D37" i="26"/>
  <c r="E38" i="21"/>
  <c r="E36" i="26"/>
  <c r="E37" i="26"/>
  <c r="F38" i="21"/>
  <c r="F36" i="26"/>
  <c r="F37" i="26"/>
  <c r="G38" i="21"/>
  <c r="G36" i="26"/>
  <c r="G37" i="26"/>
  <c r="H38" i="21"/>
  <c r="H36" i="26"/>
  <c r="H37" i="26"/>
  <c r="I38" i="21"/>
  <c r="I36" i="26"/>
  <c r="I37" i="26"/>
  <c r="J38" i="21"/>
  <c r="J36" i="26"/>
  <c r="J37" i="26"/>
  <c r="K38" i="21"/>
  <c r="K36" i="26"/>
  <c r="K37" i="26"/>
  <c r="L38" i="21"/>
  <c r="L36" i="26"/>
  <c r="L37" i="26"/>
  <c r="M38" i="21"/>
  <c r="M36" i="26"/>
  <c r="M37" i="26"/>
  <c r="B38" i="22"/>
  <c r="B36" i="25"/>
  <c r="B37" i="25"/>
  <c r="C38" i="22"/>
  <c r="C36" i="25"/>
  <c r="C37" i="25"/>
  <c r="C34" i="11"/>
  <c r="D34" i="11"/>
  <c r="E34" i="11"/>
  <c r="F34" i="11"/>
  <c r="G34" i="11"/>
  <c r="H34" i="11"/>
  <c r="I34" i="11"/>
  <c r="J34" i="11"/>
  <c r="K34" i="11"/>
  <c r="L34" i="11"/>
  <c r="M34" i="11"/>
  <c r="N34" i="11"/>
  <c r="B34" i="12"/>
  <c r="C34" i="12"/>
  <c r="D34" i="12"/>
  <c r="E34" i="12"/>
  <c r="F34" i="12"/>
  <c r="G34" i="12"/>
  <c r="H34" i="12"/>
  <c r="I34" i="12"/>
  <c r="J34" i="12"/>
  <c r="K34" i="12"/>
  <c r="L34" i="12"/>
  <c r="M34" i="12"/>
  <c r="B34" i="13"/>
  <c r="C34" i="13"/>
  <c r="D34" i="13"/>
  <c r="E34" i="13"/>
  <c r="F34" i="13"/>
  <c r="G34" i="13"/>
  <c r="H34" i="13"/>
  <c r="I34" i="13"/>
  <c r="J34" i="13"/>
  <c r="K34" i="13"/>
  <c r="L34" i="13"/>
  <c r="M34" i="13"/>
  <c r="B34" i="26"/>
  <c r="C34" i="26"/>
  <c r="D34" i="26"/>
  <c r="E34" i="26"/>
  <c r="F34" i="26"/>
  <c r="G34" i="26"/>
  <c r="H34" i="26"/>
  <c r="I34" i="26"/>
  <c r="J34" i="26"/>
  <c r="K34" i="26"/>
  <c r="L34" i="26"/>
  <c r="M34" i="26"/>
  <c r="B34" i="25"/>
  <c r="C34" i="25"/>
  <c r="AY94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C35" i="11"/>
  <c r="D35" i="11"/>
  <c r="E35" i="11"/>
  <c r="F35" i="11"/>
  <c r="G35" i="11"/>
  <c r="H35" i="11"/>
  <c r="I35" i="11"/>
  <c r="J35" i="11"/>
  <c r="K35" i="11"/>
  <c r="L35" i="11"/>
  <c r="M35" i="11"/>
  <c r="N35" i="11"/>
  <c r="B35" i="12"/>
  <c r="C35" i="12"/>
  <c r="D35" i="12"/>
  <c r="E35" i="12"/>
  <c r="F35" i="12"/>
  <c r="G35" i="12"/>
  <c r="H35" i="12"/>
  <c r="I35" i="12"/>
  <c r="J35" i="12"/>
  <c r="K35" i="12"/>
  <c r="L35" i="12"/>
  <c r="M35" i="12"/>
  <c r="B35" i="13"/>
  <c r="C35" i="13"/>
  <c r="D35" i="13"/>
  <c r="E35" i="13"/>
  <c r="F35" i="13"/>
  <c r="G35" i="13"/>
  <c r="H35" i="13"/>
  <c r="I35" i="13"/>
  <c r="J35" i="13"/>
  <c r="K35" i="13"/>
  <c r="L35" i="13"/>
  <c r="M35" i="13"/>
  <c r="B35" i="26"/>
  <c r="C35" i="26"/>
  <c r="D35" i="26"/>
  <c r="E35" i="26"/>
  <c r="F35" i="26"/>
  <c r="G35" i="26"/>
  <c r="H35" i="26"/>
  <c r="I35" i="26"/>
  <c r="J35" i="26"/>
  <c r="K35" i="26"/>
  <c r="L35" i="26"/>
  <c r="M35" i="26"/>
  <c r="B35" i="25"/>
  <c r="C35" i="25"/>
  <c r="C38" i="25"/>
  <c r="C24" i="25"/>
  <c r="C25" i="25"/>
  <c r="C28" i="25"/>
  <c r="C29" i="25"/>
  <c r="C31" i="25"/>
  <c r="C40" i="25"/>
  <c r="C41" i="25"/>
  <c r="D7" i="23"/>
  <c r="D25" i="23"/>
  <c r="D36" i="22"/>
  <c r="D33" i="23"/>
  <c r="D16" i="23"/>
  <c r="D17" i="23"/>
  <c r="D18" i="23"/>
  <c r="D19" i="23"/>
  <c r="D20" i="23"/>
  <c r="D21" i="23"/>
  <c r="D22" i="23"/>
  <c r="D23" i="23"/>
  <c r="D24" i="23"/>
  <c r="D26" i="23"/>
  <c r="D27" i="23"/>
  <c r="D28" i="23"/>
  <c r="D29" i="23"/>
  <c r="D30" i="23"/>
  <c r="D31" i="23"/>
  <c r="D32" i="23"/>
  <c r="D34" i="23"/>
  <c r="D35" i="23"/>
  <c r="D10" i="23"/>
  <c r="D11" i="23"/>
  <c r="D12" i="23"/>
  <c r="D37" i="23"/>
  <c r="D9" i="25"/>
  <c r="D10" i="25"/>
  <c r="D11" i="25"/>
  <c r="D12" i="25"/>
  <c r="D15" i="25"/>
  <c r="D16" i="25"/>
  <c r="D17" i="25"/>
  <c r="D18" i="25"/>
  <c r="D20" i="25"/>
  <c r="D38" i="22"/>
  <c r="D36" i="25"/>
  <c r="D37" i="25"/>
  <c r="D34" i="25"/>
  <c r="AZ94" i="1"/>
  <c r="D35" i="25"/>
  <c r="D38" i="25"/>
  <c r="D24" i="25"/>
  <c r="D25" i="25"/>
  <c r="D28" i="25"/>
  <c r="D29" i="25"/>
  <c r="D31" i="25"/>
  <c r="D40" i="25"/>
  <c r="D41" i="25"/>
  <c r="E7" i="23"/>
  <c r="E25" i="23"/>
  <c r="E36" i="22"/>
  <c r="E33" i="23"/>
  <c r="E16" i="23"/>
  <c r="E17" i="23"/>
  <c r="E18" i="23"/>
  <c r="E19" i="23"/>
  <c r="E20" i="23"/>
  <c r="E21" i="23"/>
  <c r="E22" i="23"/>
  <c r="E23" i="23"/>
  <c r="E24" i="23"/>
  <c r="E26" i="23"/>
  <c r="E27" i="23"/>
  <c r="E28" i="23"/>
  <c r="E29" i="23"/>
  <c r="E30" i="23"/>
  <c r="E31" i="23"/>
  <c r="E32" i="23"/>
  <c r="E34" i="23"/>
  <c r="E35" i="23"/>
  <c r="E10" i="23"/>
  <c r="E11" i="23"/>
  <c r="E12" i="23"/>
  <c r="E37" i="23"/>
  <c r="E9" i="25"/>
  <c r="E10" i="25"/>
  <c r="E11" i="25"/>
  <c r="E12" i="25"/>
  <c r="E15" i="25"/>
  <c r="E16" i="25"/>
  <c r="E17" i="25"/>
  <c r="E18" i="25"/>
  <c r="E20" i="25"/>
  <c r="E38" i="22"/>
  <c r="E36" i="25"/>
  <c r="E37" i="25"/>
  <c r="E34" i="25"/>
  <c r="BA94" i="1"/>
  <c r="E35" i="25"/>
  <c r="E38" i="25"/>
  <c r="E24" i="25"/>
  <c r="E25" i="25"/>
  <c r="E28" i="25"/>
  <c r="E29" i="25"/>
  <c r="E31" i="25"/>
  <c r="E40" i="25"/>
  <c r="E41" i="25"/>
  <c r="F7" i="23"/>
  <c r="F25" i="23"/>
  <c r="F36" i="22"/>
  <c r="F33" i="23"/>
  <c r="F16" i="23"/>
  <c r="F17" i="23"/>
  <c r="F18" i="23"/>
  <c r="F19" i="23"/>
  <c r="F20" i="23"/>
  <c r="F21" i="23"/>
  <c r="F22" i="23"/>
  <c r="F23" i="23"/>
  <c r="F24" i="23"/>
  <c r="F26" i="23"/>
  <c r="F27" i="23"/>
  <c r="F28" i="23"/>
  <c r="F29" i="23"/>
  <c r="F30" i="23"/>
  <c r="F31" i="23"/>
  <c r="F32" i="23"/>
  <c r="F34" i="23"/>
  <c r="F35" i="23"/>
  <c r="F10" i="23"/>
  <c r="F11" i="23"/>
  <c r="F12" i="23"/>
  <c r="F37" i="23"/>
  <c r="F9" i="25"/>
  <c r="F10" i="25"/>
  <c r="F11" i="25"/>
  <c r="F12" i="25"/>
  <c r="F15" i="25"/>
  <c r="F16" i="25"/>
  <c r="F17" i="25"/>
  <c r="F18" i="25"/>
  <c r="F20" i="25"/>
  <c r="F38" i="22"/>
  <c r="F36" i="25"/>
  <c r="F37" i="25"/>
  <c r="F34" i="25"/>
  <c r="BB94" i="1"/>
  <c r="F35" i="25"/>
  <c r="F38" i="25"/>
  <c r="F24" i="25"/>
  <c r="F25" i="25"/>
  <c r="F28" i="25"/>
  <c r="F29" i="25"/>
  <c r="F31" i="25"/>
  <c r="F40" i="25"/>
  <c r="F41" i="25"/>
  <c r="G7" i="23"/>
  <c r="G25" i="23"/>
  <c r="G36" i="22"/>
  <c r="G33" i="23"/>
  <c r="G16" i="23"/>
  <c r="G17" i="23"/>
  <c r="G18" i="23"/>
  <c r="G19" i="23"/>
  <c r="G20" i="23"/>
  <c r="G21" i="23"/>
  <c r="G22" i="23"/>
  <c r="G23" i="23"/>
  <c r="G24" i="23"/>
  <c r="G26" i="23"/>
  <c r="G27" i="23"/>
  <c r="G28" i="23"/>
  <c r="G29" i="23"/>
  <c r="G30" i="23"/>
  <c r="G31" i="23"/>
  <c r="G32" i="23"/>
  <c r="G34" i="23"/>
  <c r="G35" i="23"/>
  <c r="G10" i="23"/>
  <c r="G11" i="23"/>
  <c r="G12" i="23"/>
  <c r="G37" i="23"/>
  <c r="G9" i="25"/>
  <c r="G10" i="25"/>
  <c r="G11" i="25"/>
  <c r="G12" i="25"/>
  <c r="G15" i="25"/>
  <c r="G16" i="25"/>
  <c r="G17" i="25"/>
  <c r="G18" i="25"/>
  <c r="G20" i="25"/>
  <c r="G38" i="22"/>
  <c r="G36" i="25"/>
  <c r="G37" i="25"/>
  <c r="G34" i="25"/>
  <c r="BC94" i="1"/>
  <c r="G35" i="25"/>
  <c r="G38" i="25"/>
  <c r="G24" i="25"/>
  <c r="G25" i="25"/>
  <c r="G28" i="25"/>
  <c r="G29" i="25"/>
  <c r="G31" i="25"/>
  <c r="G40" i="25"/>
  <c r="G41" i="25"/>
  <c r="H7" i="23"/>
  <c r="H25" i="23"/>
  <c r="H36" i="22"/>
  <c r="H33" i="23"/>
  <c r="H16" i="23"/>
  <c r="H17" i="23"/>
  <c r="H18" i="23"/>
  <c r="H19" i="23"/>
  <c r="H20" i="23"/>
  <c r="H21" i="23"/>
  <c r="H22" i="23"/>
  <c r="H23" i="23"/>
  <c r="H24" i="23"/>
  <c r="H26" i="23"/>
  <c r="H27" i="23"/>
  <c r="H28" i="23"/>
  <c r="H29" i="23"/>
  <c r="H30" i="23"/>
  <c r="H31" i="23"/>
  <c r="H32" i="23"/>
  <c r="H34" i="23"/>
  <c r="H35" i="23"/>
  <c r="H10" i="23"/>
  <c r="H11" i="23"/>
  <c r="H12" i="23"/>
  <c r="H37" i="23"/>
  <c r="H9" i="25"/>
  <c r="H10" i="25"/>
  <c r="H11" i="25"/>
  <c r="H12" i="25"/>
  <c r="H15" i="25"/>
  <c r="H16" i="25"/>
  <c r="H17" i="25"/>
  <c r="H18" i="25"/>
  <c r="H20" i="25"/>
  <c r="H38" i="22"/>
  <c r="H36" i="25"/>
  <c r="H37" i="25"/>
  <c r="H34" i="25"/>
  <c r="BD94" i="1"/>
  <c r="H35" i="25"/>
  <c r="H38" i="25"/>
  <c r="H24" i="25"/>
  <c r="H25" i="25"/>
  <c r="H28" i="25"/>
  <c r="H29" i="25"/>
  <c r="H31" i="25"/>
  <c r="H40" i="25"/>
  <c r="H41" i="25"/>
  <c r="I7" i="23"/>
  <c r="I25" i="23"/>
  <c r="I36" i="22"/>
  <c r="I33" i="23"/>
  <c r="I16" i="23"/>
  <c r="I17" i="23"/>
  <c r="I18" i="23"/>
  <c r="I19" i="23"/>
  <c r="I20" i="23"/>
  <c r="I21" i="23"/>
  <c r="I22" i="23"/>
  <c r="I23" i="23"/>
  <c r="I24" i="23"/>
  <c r="I26" i="23"/>
  <c r="I27" i="23"/>
  <c r="I28" i="23"/>
  <c r="I29" i="23"/>
  <c r="I30" i="23"/>
  <c r="I31" i="23"/>
  <c r="I32" i="23"/>
  <c r="I34" i="23"/>
  <c r="I35" i="23"/>
  <c r="I10" i="23"/>
  <c r="I11" i="23"/>
  <c r="I12" i="23"/>
  <c r="I37" i="23"/>
  <c r="I9" i="25"/>
  <c r="I10" i="25"/>
  <c r="I11" i="25"/>
  <c r="I12" i="25"/>
  <c r="I15" i="25"/>
  <c r="I16" i="25"/>
  <c r="I17" i="25"/>
  <c r="I18" i="25"/>
  <c r="I20" i="25"/>
  <c r="I38" i="22"/>
  <c r="I36" i="25"/>
  <c r="I37" i="25"/>
  <c r="I34" i="25"/>
  <c r="BE94" i="1"/>
  <c r="I35" i="25"/>
  <c r="I38" i="25"/>
  <c r="I24" i="25"/>
  <c r="I25" i="25"/>
  <c r="I28" i="25"/>
  <c r="I29" i="25"/>
  <c r="I31" i="25"/>
  <c r="I40" i="25"/>
  <c r="I41" i="25"/>
  <c r="J7" i="23"/>
  <c r="J25" i="23"/>
  <c r="J36" i="22"/>
  <c r="J33" i="23"/>
  <c r="J16" i="23"/>
  <c r="J17" i="23"/>
  <c r="J18" i="23"/>
  <c r="J19" i="23"/>
  <c r="J20" i="23"/>
  <c r="J21" i="23"/>
  <c r="J22" i="23"/>
  <c r="J23" i="23"/>
  <c r="J24" i="23"/>
  <c r="J26" i="23"/>
  <c r="J27" i="23"/>
  <c r="J28" i="23"/>
  <c r="J29" i="23"/>
  <c r="J30" i="23"/>
  <c r="J31" i="23"/>
  <c r="J32" i="23"/>
  <c r="J34" i="23"/>
  <c r="J35" i="23"/>
  <c r="J10" i="23"/>
  <c r="J11" i="23"/>
  <c r="J12" i="23"/>
  <c r="J37" i="23"/>
  <c r="J9" i="25"/>
  <c r="J10" i="25"/>
  <c r="J11" i="25"/>
  <c r="J12" i="25"/>
  <c r="J15" i="25"/>
  <c r="J16" i="25"/>
  <c r="J17" i="25"/>
  <c r="J18" i="25"/>
  <c r="J20" i="25"/>
  <c r="J38" i="22"/>
  <c r="J36" i="25"/>
  <c r="J37" i="25"/>
  <c r="J34" i="25"/>
  <c r="BF94" i="1"/>
  <c r="J35" i="25"/>
  <c r="J38" i="25"/>
  <c r="J24" i="25"/>
  <c r="J25" i="25"/>
  <c r="J28" i="25"/>
  <c r="J29" i="25"/>
  <c r="J31" i="25"/>
  <c r="J40" i="25"/>
  <c r="J41" i="25"/>
  <c r="K7" i="23"/>
  <c r="K25" i="23"/>
  <c r="K36" i="22"/>
  <c r="K33" i="23"/>
  <c r="K16" i="23"/>
  <c r="K17" i="23"/>
  <c r="K18" i="23"/>
  <c r="K19" i="23"/>
  <c r="K20" i="23"/>
  <c r="K21" i="23"/>
  <c r="K22" i="23"/>
  <c r="K23" i="23"/>
  <c r="K24" i="23"/>
  <c r="K26" i="23"/>
  <c r="K27" i="23"/>
  <c r="K28" i="23"/>
  <c r="K29" i="23"/>
  <c r="K30" i="23"/>
  <c r="K31" i="23"/>
  <c r="K32" i="23"/>
  <c r="K34" i="23"/>
  <c r="K35" i="23"/>
  <c r="K10" i="23"/>
  <c r="K11" i="23"/>
  <c r="K12" i="23"/>
  <c r="K37" i="23"/>
  <c r="K9" i="25"/>
  <c r="K10" i="25"/>
  <c r="K11" i="25"/>
  <c r="K12" i="25"/>
  <c r="K15" i="25"/>
  <c r="K16" i="25"/>
  <c r="K17" i="25"/>
  <c r="K18" i="25"/>
  <c r="K20" i="25"/>
  <c r="K38" i="22"/>
  <c r="K36" i="25"/>
  <c r="K37" i="25"/>
  <c r="K34" i="25"/>
  <c r="BG94" i="1"/>
  <c r="K35" i="25"/>
  <c r="K38" i="25"/>
  <c r="K24" i="25"/>
  <c r="K25" i="25"/>
  <c r="K28" i="25"/>
  <c r="K29" i="25"/>
  <c r="K31" i="25"/>
  <c r="K40" i="25"/>
  <c r="K41" i="25"/>
  <c r="L7" i="23"/>
  <c r="L25" i="23"/>
  <c r="L36" i="22"/>
  <c r="L33" i="23"/>
  <c r="L16" i="23"/>
  <c r="L17" i="23"/>
  <c r="L18" i="23"/>
  <c r="L19" i="23"/>
  <c r="L20" i="23"/>
  <c r="L21" i="23"/>
  <c r="L22" i="23"/>
  <c r="L23" i="23"/>
  <c r="L24" i="23"/>
  <c r="L26" i="23"/>
  <c r="L27" i="23"/>
  <c r="L28" i="23"/>
  <c r="L29" i="23"/>
  <c r="L30" i="23"/>
  <c r="L31" i="23"/>
  <c r="L32" i="23"/>
  <c r="L34" i="23"/>
  <c r="L35" i="23"/>
  <c r="L10" i="23"/>
  <c r="L11" i="23"/>
  <c r="L12" i="23"/>
  <c r="L37" i="23"/>
  <c r="L9" i="25"/>
  <c r="L10" i="25"/>
  <c r="L11" i="25"/>
  <c r="L12" i="25"/>
  <c r="L15" i="25"/>
  <c r="L16" i="25"/>
  <c r="L17" i="25"/>
  <c r="L18" i="25"/>
  <c r="L20" i="25"/>
  <c r="L38" i="22"/>
  <c r="L36" i="25"/>
  <c r="L37" i="25"/>
  <c r="L34" i="25"/>
  <c r="BH94" i="1"/>
  <c r="L35" i="25"/>
  <c r="L38" i="25"/>
  <c r="L24" i="25"/>
  <c r="L25" i="25"/>
  <c r="L28" i="25"/>
  <c r="L29" i="25"/>
  <c r="L31" i="25"/>
  <c r="L40" i="25"/>
  <c r="L41" i="25"/>
  <c r="M7" i="23"/>
  <c r="M25" i="23"/>
  <c r="M36" i="22"/>
  <c r="M33" i="23"/>
  <c r="M16" i="23"/>
  <c r="M17" i="23"/>
  <c r="M18" i="23"/>
  <c r="M19" i="23"/>
  <c r="M20" i="23"/>
  <c r="M21" i="23"/>
  <c r="M22" i="23"/>
  <c r="M23" i="23"/>
  <c r="M24" i="23"/>
  <c r="M26" i="23"/>
  <c r="M27" i="23"/>
  <c r="M28" i="23"/>
  <c r="C68" i="2"/>
  <c r="E68" i="2"/>
  <c r="M29" i="23"/>
  <c r="M30" i="23"/>
  <c r="M31" i="23"/>
  <c r="M32" i="23"/>
  <c r="M34" i="23"/>
  <c r="M35" i="23"/>
  <c r="M10" i="23"/>
  <c r="M11" i="23"/>
  <c r="M12" i="23"/>
  <c r="M37" i="23"/>
  <c r="M9" i="25"/>
  <c r="M10" i="25"/>
  <c r="M11" i="25"/>
  <c r="M12" i="25"/>
  <c r="M15" i="25"/>
  <c r="M16" i="25"/>
  <c r="M17" i="25"/>
  <c r="M18" i="25"/>
  <c r="M20" i="25"/>
  <c r="M38" i="22"/>
  <c r="M36" i="25"/>
  <c r="M37" i="25"/>
  <c r="M34" i="25"/>
  <c r="BI94" i="1"/>
  <c r="M35" i="25"/>
  <c r="M38" i="25"/>
  <c r="M24" i="25"/>
  <c r="M25" i="25"/>
  <c r="B69" i="2"/>
  <c r="F69" i="2"/>
  <c r="M28" i="25"/>
  <c r="M29" i="25"/>
  <c r="M31" i="25"/>
  <c r="M40" i="25"/>
  <c r="M41" i="25"/>
  <c r="B9" i="25"/>
  <c r="B11" i="25"/>
  <c r="B12" i="25"/>
  <c r="B18" i="25"/>
  <c r="B20" i="25"/>
  <c r="B38" i="25"/>
  <c r="B24" i="25"/>
  <c r="B25" i="25"/>
  <c r="B28" i="25"/>
  <c r="B29" i="25"/>
  <c r="B31" i="25"/>
  <c r="B40" i="25"/>
  <c r="B41" i="25"/>
  <c r="C9" i="26"/>
  <c r="C11" i="26"/>
  <c r="C12" i="26"/>
  <c r="C18" i="26"/>
  <c r="C20" i="26"/>
  <c r="C38" i="26"/>
  <c r="C24" i="26"/>
  <c r="C25" i="26"/>
  <c r="C28" i="26"/>
  <c r="C29" i="26"/>
  <c r="C31" i="26"/>
  <c r="C40" i="26"/>
  <c r="C41" i="26"/>
  <c r="D9" i="26"/>
  <c r="D11" i="26"/>
  <c r="D12" i="26"/>
  <c r="D18" i="26"/>
  <c r="D20" i="26"/>
  <c r="D38" i="26"/>
  <c r="D24" i="26"/>
  <c r="D25" i="26"/>
  <c r="D28" i="26"/>
  <c r="D29" i="26"/>
  <c r="D31" i="26"/>
  <c r="D40" i="26"/>
  <c r="D41" i="26"/>
  <c r="E9" i="26"/>
  <c r="E11" i="26"/>
  <c r="E12" i="26"/>
  <c r="E18" i="26"/>
  <c r="E20" i="26"/>
  <c r="E38" i="26"/>
  <c r="E24" i="26"/>
  <c r="E25" i="26"/>
  <c r="E28" i="26"/>
  <c r="E29" i="26"/>
  <c r="E31" i="26"/>
  <c r="E40" i="26"/>
  <c r="E41" i="26"/>
  <c r="F9" i="26"/>
  <c r="F11" i="26"/>
  <c r="F12" i="26"/>
  <c r="F18" i="26"/>
  <c r="F20" i="26"/>
  <c r="F38" i="26"/>
  <c r="F24" i="26"/>
  <c r="F25" i="26"/>
  <c r="F28" i="26"/>
  <c r="F29" i="26"/>
  <c r="F31" i="26"/>
  <c r="F40" i="26"/>
  <c r="F41" i="26"/>
  <c r="G9" i="26"/>
  <c r="G11" i="26"/>
  <c r="G12" i="26"/>
  <c r="G18" i="26"/>
  <c r="G20" i="26"/>
  <c r="G38" i="26"/>
  <c r="G24" i="26"/>
  <c r="G25" i="26"/>
  <c r="G28" i="26"/>
  <c r="G29" i="26"/>
  <c r="G31" i="26"/>
  <c r="G40" i="26"/>
  <c r="G41" i="26"/>
  <c r="H9" i="26"/>
  <c r="H11" i="26"/>
  <c r="H12" i="26"/>
  <c r="H18" i="26"/>
  <c r="H20" i="26"/>
  <c r="H38" i="26"/>
  <c r="H24" i="26"/>
  <c r="H25" i="26"/>
  <c r="H28" i="26"/>
  <c r="H29" i="26"/>
  <c r="H31" i="26"/>
  <c r="H40" i="26"/>
  <c r="H41" i="26"/>
  <c r="I9" i="26"/>
  <c r="I11" i="26"/>
  <c r="I12" i="26"/>
  <c r="I18" i="26"/>
  <c r="I20" i="26"/>
  <c r="I38" i="26"/>
  <c r="I24" i="26"/>
  <c r="I25" i="26"/>
  <c r="I28" i="26"/>
  <c r="I29" i="26"/>
  <c r="I31" i="26"/>
  <c r="I40" i="26"/>
  <c r="I41" i="26"/>
  <c r="J9" i="26"/>
  <c r="J11" i="26"/>
  <c r="J12" i="26"/>
  <c r="J18" i="26"/>
  <c r="J20" i="26"/>
  <c r="J38" i="26"/>
  <c r="J24" i="26"/>
  <c r="J25" i="26"/>
  <c r="J28" i="26"/>
  <c r="J29" i="26"/>
  <c r="J31" i="26"/>
  <c r="J40" i="26"/>
  <c r="J41" i="26"/>
  <c r="K9" i="26"/>
  <c r="K11" i="26"/>
  <c r="K12" i="26"/>
  <c r="K18" i="26"/>
  <c r="K20" i="26"/>
  <c r="K38" i="26"/>
  <c r="K24" i="26"/>
  <c r="K25" i="26"/>
  <c r="K28" i="26"/>
  <c r="K29" i="26"/>
  <c r="K31" i="26"/>
  <c r="K40" i="26"/>
  <c r="K41" i="26"/>
  <c r="L9" i="26"/>
  <c r="L11" i="26"/>
  <c r="L12" i="26"/>
  <c r="L18" i="26"/>
  <c r="L20" i="26"/>
  <c r="L38" i="26"/>
  <c r="L24" i="26"/>
  <c r="L25" i="26"/>
  <c r="L28" i="26"/>
  <c r="L29" i="26"/>
  <c r="L31" i="26"/>
  <c r="L40" i="26"/>
  <c r="L41" i="26"/>
  <c r="M9" i="26"/>
  <c r="M11" i="26"/>
  <c r="M12" i="26"/>
  <c r="M18" i="26"/>
  <c r="M20" i="26"/>
  <c r="M38" i="26"/>
  <c r="M24" i="26"/>
  <c r="M25" i="26"/>
  <c r="M28" i="26"/>
  <c r="M29" i="26"/>
  <c r="M31" i="26"/>
  <c r="M40" i="26"/>
  <c r="M41" i="26"/>
  <c r="B9" i="26"/>
  <c r="B11" i="26"/>
  <c r="B12" i="26"/>
  <c r="B18" i="26"/>
  <c r="B20" i="26"/>
  <c r="B38" i="26"/>
  <c r="B24" i="26"/>
  <c r="B25" i="26"/>
  <c r="B28" i="26"/>
  <c r="B29" i="26"/>
  <c r="B31" i="26"/>
  <c r="B40" i="26"/>
  <c r="B41" i="26"/>
  <c r="C9" i="13"/>
  <c r="C11" i="13"/>
  <c r="C12" i="13"/>
  <c r="C18" i="13"/>
  <c r="C20" i="13"/>
  <c r="C38" i="13"/>
  <c r="C24" i="13"/>
  <c r="C25" i="13"/>
  <c r="C28" i="13"/>
  <c r="C29" i="13"/>
  <c r="C31" i="13"/>
  <c r="C40" i="13"/>
  <c r="C41" i="13"/>
  <c r="D9" i="13"/>
  <c r="D11" i="13"/>
  <c r="D12" i="13"/>
  <c r="D18" i="13"/>
  <c r="D20" i="13"/>
  <c r="D38" i="13"/>
  <c r="D24" i="13"/>
  <c r="D25" i="13"/>
  <c r="D28" i="13"/>
  <c r="D29" i="13"/>
  <c r="D31" i="13"/>
  <c r="D40" i="13"/>
  <c r="D41" i="13"/>
  <c r="E9" i="13"/>
  <c r="E11" i="13"/>
  <c r="E12" i="13"/>
  <c r="E18" i="13"/>
  <c r="E20" i="13"/>
  <c r="E38" i="13"/>
  <c r="E24" i="13"/>
  <c r="E25" i="13"/>
  <c r="E28" i="13"/>
  <c r="E29" i="13"/>
  <c r="E31" i="13"/>
  <c r="E40" i="13"/>
  <c r="E41" i="13"/>
  <c r="F9" i="13"/>
  <c r="F11" i="13"/>
  <c r="F12" i="13"/>
  <c r="F18" i="13"/>
  <c r="F20" i="13"/>
  <c r="F38" i="13"/>
  <c r="F24" i="13"/>
  <c r="F25" i="13"/>
  <c r="F28" i="13"/>
  <c r="F29" i="13"/>
  <c r="F31" i="13"/>
  <c r="F40" i="13"/>
  <c r="F41" i="13"/>
  <c r="G9" i="13"/>
  <c r="G11" i="13"/>
  <c r="G12" i="13"/>
  <c r="G18" i="13"/>
  <c r="G20" i="13"/>
  <c r="G38" i="13"/>
  <c r="G24" i="13"/>
  <c r="G25" i="13"/>
  <c r="G28" i="13"/>
  <c r="G29" i="13"/>
  <c r="G31" i="13"/>
  <c r="G40" i="13"/>
  <c r="G41" i="13"/>
  <c r="H9" i="13"/>
  <c r="H11" i="13"/>
  <c r="H12" i="13"/>
  <c r="H18" i="13"/>
  <c r="H20" i="13"/>
  <c r="H38" i="13"/>
  <c r="H24" i="13"/>
  <c r="H25" i="13"/>
  <c r="H28" i="13"/>
  <c r="H29" i="13"/>
  <c r="H31" i="13"/>
  <c r="H40" i="13"/>
  <c r="H41" i="13"/>
  <c r="I9" i="13"/>
  <c r="I11" i="13"/>
  <c r="I12" i="13"/>
  <c r="I18" i="13"/>
  <c r="I20" i="13"/>
  <c r="I38" i="13"/>
  <c r="I24" i="13"/>
  <c r="I25" i="13"/>
  <c r="I28" i="13"/>
  <c r="I29" i="13"/>
  <c r="I31" i="13"/>
  <c r="I40" i="13"/>
  <c r="I41" i="13"/>
  <c r="J9" i="13"/>
  <c r="J11" i="13"/>
  <c r="J12" i="13"/>
  <c r="J18" i="13"/>
  <c r="J20" i="13"/>
  <c r="J38" i="13"/>
  <c r="J24" i="13"/>
  <c r="J25" i="13"/>
  <c r="J28" i="13"/>
  <c r="J29" i="13"/>
  <c r="J31" i="13"/>
  <c r="J40" i="13"/>
  <c r="J41" i="13"/>
  <c r="K9" i="13"/>
  <c r="K11" i="13"/>
  <c r="K12" i="13"/>
  <c r="K18" i="13"/>
  <c r="K20" i="13"/>
  <c r="K38" i="13"/>
  <c r="K24" i="13"/>
  <c r="K25" i="13"/>
  <c r="K28" i="13"/>
  <c r="K29" i="13"/>
  <c r="K31" i="13"/>
  <c r="K40" i="13"/>
  <c r="K41" i="13"/>
  <c r="L9" i="13"/>
  <c r="L11" i="13"/>
  <c r="L12" i="13"/>
  <c r="L18" i="13"/>
  <c r="L20" i="13"/>
  <c r="L38" i="13"/>
  <c r="L24" i="13"/>
  <c r="L25" i="13"/>
  <c r="L28" i="13"/>
  <c r="L29" i="13"/>
  <c r="L31" i="13"/>
  <c r="L40" i="13"/>
  <c r="L41" i="13"/>
  <c r="M9" i="13"/>
  <c r="M11" i="13"/>
  <c r="M12" i="13"/>
  <c r="M18" i="13"/>
  <c r="M20" i="13"/>
  <c r="M38" i="13"/>
  <c r="M24" i="13"/>
  <c r="M25" i="13"/>
  <c r="M28" i="13"/>
  <c r="M29" i="13"/>
  <c r="M31" i="13"/>
  <c r="M40" i="13"/>
  <c r="M41" i="13"/>
  <c r="B9" i="13"/>
  <c r="B11" i="13"/>
  <c r="B12" i="13"/>
  <c r="B18" i="13"/>
  <c r="B20" i="13"/>
  <c r="B38" i="13"/>
  <c r="B24" i="13"/>
  <c r="B25" i="13"/>
  <c r="B28" i="13"/>
  <c r="B29" i="13"/>
  <c r="B31" i="13"/>
  <c r="B40" i="13"/>
  <c r="B41" i="13"/>
  <c r="C9" i="12"/>
  <c r="C11" i="12"/>
  <c r="C12" i="12"/>
  <c r="C18" i="12"/>
  <c r="C20" i="12"/>
  <c r="C38" i="12"/>
  <c r="C24" i="12"/>
  <c r="C25" i="12"/>
  <c r="C28" i="12"/>
  <c r="C29" i="12"/>
  <c r="C31" i="12"/>
  <c r="C40" i="12"/>
  <c r="C41" i="12"/>
  <c r="D9" i="12"/>
  <c r="D11" i="12"/>
  <c r="D12" i="12"/>
  <c r="D18" i="12"/>
  <c r="D20" i="12"/>
  <c r="D38" i="12"/>
  <c r="D24" i="12"/>
  <c r="D25" i="12"/>
  <c r="D28" i="12"/>
  <c r="D29" i="12"/>
  <c r="D31" i="12"/>
  <c r="D40" i="12"/>
  <c r="D41" i="12"/>
  <c r="E9" i="12"/>
  <c r="E11" i="12"/>
  <c r="E12" i="12"/>
  <c r="E18" i="12"/>
  <c r="E20" i="12"/>
  <c r="E38" i="12"/>
  <c r="E24" i="12"/>
  <c r="E25" i="12"/>
  <c r="E28" i="12"/>
  <c r="E29" i="12"/>
  <c r="E31" i="12"/>
  <c r="E40" i="12"/>
  <c r="E41" i="12"/>
  <c r="F9" i="12"/>
  <c r="F11" i="12"/>
  <c r="F12" i="12"/>
  <c r="F18" i="12"/>
  <c r="F20" i="12"/>
  <c r="F38" i="12"/>
  <c r="F24" i="12"/>
  <c r="F25" i="12"/>
  <c r="F28" i="12"/>
  <c r="F29" i="12"/>
  <c r="F31" i="12"/>
  <c r="F40" i="12"/>
  <c r="F41" i="12"/>
  <c r="G9" i="12"/>
  <c r="G11" i="12"/>
  <c r="G12" i="12"/>
  <c r="G18" i="12"/>
  <c r="G20" i="12"/>
  <c r="G38" i="12"/>
  <c r="G24" i="12"/>
  <c r="G25" i="12"/>
  <c r="G28" i="12"/>
  <c r="G29" i="12"/>
  <c r="G31" i="12"/>
  <c r="G40" i="12"/>
  <c r="G41" i="12"/>
  <c r="H9" i="12"/>
  <c r="H11" i="12"/>
  <c r="H12" i="12"/>
  <c r="H18" i="12"/>
  <c r="H20" i="12"/>
  <c r="H38" i="12"/>
  <c r="H24" i="12"/>
  <c r="H25" i="12"/>
  <c r="H28" i="12"/>
  <c r="H29" i="12"/>
  <c r="H31" i="12"/>
  <c r="H40" i="12"/>
  <c r="H41" i="12"/>
  <c r="I9" i="12"/>
  <c r="I11" i="12"/>
  <c r="I12" i="12"/>
  <c r="I18" i="12"/>
  <c r="I20" i="12"/>
  <c r="I38" i="12"/>
  <c r="I24" i="12"/>
  <c r="I25" i="12"/>
  <c r="I28" i="12"/>
  <c r="I29" i="12"/>
  <c r="I31" i="12"/>
  <c r="I40" i="12"/>
  <c r="I41" i="12"/>
  <c r="J9" i="12"/>
  <c r="J11" i="12"/>
  <c r="J12" i="12"/>
  <c r="J18" i="12"/>
  <c r="J20" i="12"/>
  <c r="J38" i="12"/>
  <c r="J24" i="12"/>
  <c r="J25" i="12"/>
  <c r="J28" i="12"/>
  <c r="J29" i="12"/>
  <c r="J31" i="12"/>
  <c r="J40" i="12"/>
  <c r="J41" i="12"/>
  <c r="K9" i="12"/>
  <c r="K11" i="12"/>
  <c r="K12" i="12"/>
  <c r="K18" i="12"/>
  <c r="K20" i="12"/>
  <c r="K38" i="12"/>
  <c r="K24" i="12"/>
  <c r="K25" i="12"/>
  <c r="K28" i="12"/>
  <c r="K29" i="12"/>
  <c r="K31" i="12"/>
  <c r="K40" i="12"/>
  <c r="K41" i="12"/>
  <c r="L9" i="12"/>
  <c r="L11" i="12"/>
  <c r="L12" i="12"/>
  <c r="L18" i="12"/>
  <c r="L20" i="12"/>
  <c r="L38" i="12"/>
  <c r="L24" i="12"/>
  <c r="L25" i="12"/>
  <c r="L28" i="12"/>
  <c r="L29" i="12"/>
  <c r="L31" i="12"/>
  <c r="L40" i="12"/>
  <c r="L41" i="12"/>
  <c r="M9" i="12"/>
  <c r="M11" i="12"/>
  <c r="M12" i="12"/>
  <c r="M18" i="12"/>
  <c r="M20" i="12"/>
  <c r="M38" i="12"/>
  <c r="M24" i="12"/>
  <c r="M25" i="12"/>
  <c r="M28" i="12"/>
  <c r="M29" i="12"/>
  <c r="M31" i="12"/>
  <c r="M40" i="12"/>
  <c r="M41" i="12"/>
  <c r="B9" i="12"/>
  <c r="B11" i="12"/>
  <c r="B12" i="12"/>
  <c r="B18" i="12"/>
  <c r="B20" i="12"/>
  <c r="B38" i="12"/>
  <c r="B24" i="12"/>
  <c r="B25" i="12"/>
  <c r="B28" i="12"/>
  <c r="B29" i="12"/>
  <c r="B31" i="12"/>
  <c r="B40" i="12"/>
  <c r="B41" i="12"/>
  <c r="D9" i="11"/>
  <c r="D11" i="11"/>
  <c r="D12" i="11"/>
  <c r="D18" i="11"/>
  <c r="D20" i="11"/>
  <c r="D38" i="11"/>
  <c r="D24" i="11"/>
  <c r="D25" i="11"/>
  <c r="D28" i="11"/>
  <c r="D29" i="11"/>
  <c r="D31" i="11"/>
  <c r="D40" i="11"/>
  <c r="D41" i="11"/>
  <c r="E9" i="11"/>
  <c r="E11" i="11"/>
  <c r="E12" i="11"/>
  <c r="E18" i="11"/>
  <c r="E20" i="11"/>
  <c r="E38" i="11"/>
  <c r="E24" i="11"/>
  <c r="E25" i="11"/>
  <c r="E28" i="11"/>
  <c r="E29" i="11"/>
  <c r="E31" i="11"/>
  <c r="E40" i="11"/>
  <c r="E41" i="11"/>
  <c r="F9" i="11"/>
  <c r="F11" i="11"/>
  <c r="F12" i="11"/>
  <c r="F18" i="11"/>
  <c r="F20" i="11"/>
  <c r="F38" i="11"/>
  <c r="F24" i="11"/>
  <c r="F25" i="11"/>
  <c r="F28" i="11"/>
  <c r="F29" i="11"/>
  <c r="F31" i="11"/>
  <c r="F40" i="11"/>
  <c r="F41" i="11"/>
  <c r="G9" i="11"/>
  <c r="G11" i="11"/>
  <c r="G12" i="11"/>
  <c r="G18" i="11"/>
  <c r="G20" i="11"/>
  <c r="G38" i="11"/>
  <c r="G24" i="11"/>
  <c r="G25" i="11"/>
  <c r="G28" i="11"/>
  <c r="G29" i="11"/>
  <c r="G31" i="11"/>
  <c r="G40" i="11"/>
  <c r="G41" i="11"/>
  <c r="H9" i="11"/>
  <c r="H11" i="11"/>
  <c r="H12" i="11"/>
  <c r="H18" i="11"/>
  <c r="H20" i="11"/>
  <c r="H38" i="11"/>
  <c r="H24" i="11"/>
  <c r="H25" i="11"/>
  <c r="H28" i="11"/>
  <c r="H29" i="11"/>
  <c r="H31" i="11"/>
  <c r="H40" i="11"/>
  <c r="H41" i="11"/>
  <c r="I9" i="11"/>
  <c r="I11" i="11"/>
  <c r="I12" i="11"/>
  <c r="I18" i="11"/>
  <c r="I20" i="11"/>
  <c r="I38" i="11"/>
  <c r="I24" i="11"/>
  <c r="I25" i="11"/>
  <c r="I28" i="11"/>
  <c r="I29" i="11"/>
  <c r="I31" i="11"/>
  <c r="I40" i="11"/>
  <c r="I41" i="11"/>
  <c r="J9" i="11"/>
  <c r="J11" i="11"/>
  <c r="J12" i="11"/>
  <c r="J18" i="11"/>
  <c r="J20" i="11"/>
  <c r="J38" i="11"/>
  <c r="J24" i="11"/>
  <c r="J25" i="11"/>
  <c r="J28" i="11"/>
  <c r="J29" i="11"/>
  <c r="J31" i="11"/>
  <c r="J40" i="11"/>
  <c r="J41" i="11"/>
  <c r="K9" i="11"/>
  <c r="K11" i="11"/>
  <c r="K12" i="11"/>
  <c r="K18" i="11"/>
  <c r="K20" i="11"/>
  <c r="K38" i="11"/>
  <c r="K24" i="11"/>
  <c r="K25" i="11"/>
  <c r="K28" i="11"/>
  <c r="K29" i="11"/>
  <c r="K31" i="11"/>
  <c r="K40" i="11"/>
  <c r="K41" i="11"/>
  <c r="L9" i="11"/>
  <c r="L11" i="11"/>
  <c r="L12" i="11"/>
  <c r="L18" i="11"/>
  <c r="L20" i="11"/>
  <c r="L38" i="11"/>
  <c r="L24" i="11"/>
  <c r="L25" i="11"/>
  <c r="L28" i="11"/>
  <c r="L29" i="11"/>
  <c r="L31" i="11"/>
  <c r="L40" i="11"/>
  <c r="L41" i="11"/>
  <c r="M9" i="11"/>
  <c r="M11" i="11"/>
  <c r="M12" i="11"/>
  <c r="M18" i="11"/>
  <c r="M20" i="11"/>
  <c r="M38" i="11"/>
  <c r="M24" i="11"/>
  <c r="M25" i="11"/>
  <c r="M28" i="11"/>
  <c r="M29" i="11"/>
  <c r="M31" i="11"/>
  <c r="M40" i="11"/>
  <c r="M41" i="11"/>
  <c r="N9" i="11"/>
  <c r="N11" i="11"/>
  <c r="N12" i="11"/>
  <c r="N18" i="11"/>
  <c r="N20" i="11"/>
  <c r="N38" i="11"/>
  <c r="N24" i="11"/>
  <c r="N25" i="11"/>
  <c r="N28" i="11"/>
  <c r="N29" i="11"/>
  <c r="N31" i="11"/>
  <c r="N40" i="11"/>
  <c r="N41" i="11"/>
  <c r="C9" i="11"/>
  <c r="C11" i="11"/>
  <c r="C12" i="11"/>
  <c r="C18" i="11"/>
  <c r="C20" i="11"/>
  <c r="C38" i="11"/>
  <c r="C24" i="11"/>
  <c r="C25" i="11"/>
  <c r="C28" i="11"/>
  <c r="C29" i="11"/>
  <c r="C31" i="11"/>
  <c r="C40" i="11"/>
  <c r="C41" i="11"/>
  <c r="C8" i="30"/>
  <c r="D8" i="30"/>
  <c r="E8" i="30"/>
  <c r="F8" i="30"/>
  <c r="G8" i="30"/>
  <c r="H8" i="30"/>
  <c r="I8" i="30"/>
  <c r="J8" i="30"/>
  <c r="K8" i="30"/>
  <c r="L8" i="30"/>
  <c r="M8" i="30"/>
  <c r="N8" i="30"/>
  <c r="O8" i="30"/>
  <c r="P8" i="30"/>
  <c r="Q8" i="30"/>
  <c r="R8" i="30"/>
  <c r="S8" i="30"/>
  <c r="T8" i="30"/>
  <c r="U8" i="30"/>
  <c r="V8" i="30"/>
  <c r="W8" i="30"/>
  <c r="X8" i="30"/>
  <c r="Y8" i="30"/>
  <c r="Z8" i="30"/>
  <c r="AA8" i="30"/>
  <c r="AB8" i="30"/>
  <c r="AC8" i="30"/>
  <c r="AD8" i="30"/>
  <c r="AE8" i="30"/>
  <c r="AF8" i="30"/>
  <c r="AG8" i="30"/>
  <c r="AH8" i="30"/>
  <c r="AI8" i="30"/>
  <c r="AJ8" i="30"/>
  <c r="AK8" i="30"/>
  <c r="AL8" i="30"/>
  <c r="AM8" i="30"/>
  <c r="AN8" i="30"/>
  <c r="AO8" i="30"/>
  <c r="AP8" i="30"/>
  <c r="AQ8" i="30"/>
  <c r="AR8" i="30"/>
  <c r="AS8" i="30"/>
  <c r="AT8" i="30"/>
  <c r="AU8" i="30"/>
  <c r="AV8" i="30"/>
  <c r="AW8" i="30"/>
  <c r="AX8" i="30"/>
  <c r="AY8" i="30"/>
  <c r="AZ8" i="30"/>
  <c r="BA8" i="30"/>
  <c r="BB8" i="30"/>
  <c r="BC8" i="30"/>
  <c r="BD8" i="30"/>
  <c r="BE8" i="30"/>
  <c r="BF8" i="30"/>
  <c r="BG8" i="30"/>
  <c r="BH8" i="30"/>
  <c r="BI8" i="30"/>
  <c r="B8" i="30"/>
  <c r="O10" i="8"/>
  <c r="B11" i="8"/>
  <c r="O11" i="8"/>
  <c r="O12" i="8"/>
  <c r="O13" i="8"/>
  <c r="B13" i="8"/>
  <c r="A28" i="22"/>
  <c r="A27" i="23"/>
  <c r="A27" i="22"/>
  <c r="A26" i="23"/>
  <c r="A26" i="22"/>
  <c r="A25" i="23"/>
  <c r="A25" i="22"/>
  <c r="A24" i="23"/>
  <c r="A24" i="22"/>
  <c r="A23" i="23"/>
  <c r="A23" i="22"/>
  <c r="A22" i="23"/>
  <c r="A22" i="22"/>
  <c r="A21" i="23"/>
  <c r="A21" i="22"/>
  <c r="A20" i="23"/>
  <c r="A20" i="22"/>
  <c r="A19" i="23"/>
  <c r="A19" i="22"/>
  <c r="A18" i="23"/>
  <c r="A18" i="22"/>
  <c r="A17" i="23"/>
  <c r="A27" i="24"/>
  <c r="A26" i="24"/>
  <c r="A25" i="24"/>
  <c r="A24" i="24"/>
  <c r="A23" i="24"/>
  <c r="A22" i="24"/>
  <c r="A21" i="24"/>
  <c r="A20" i="24"/>
  <c r="A19" i="24"/>
  <c r="A18" i="24"/>
  <c r="A17" i="24"/>
  <c r="A27" i="10"/>
  <c r="A26" i="10"/>
  <c r="A25" i="10"/>
  <c r="A24" i="10"/>
  <c r="A23" i="10"/>
  <c r="A22" i="10"/>
  <c r="A21" i="10"/>
  <c r="A20" i="10"/>
  <c r="A19" i="10"/>
  <c r="A18" i="10"/>
  <c r="A17" i="10"/>
  <c r="A27" i="9"/>
  <c r="A26" i="9"/>
  <c r="A25" i="9"/>
  <c r="A24" i="9"/>
  <c r="A23" i="9"/>
  <c r="A22" i="9"/>
  <c r="A21" i="9"/>
  <c r="A20" i="9"/>
  <c r="A19" i="9"/>
  <c r="A18" i="9"/>
  <c r="A17" i="9"/>
  <c r="A19" i="8"/>
  <c r="A20" i="8"/>
  <c r="A21" i="8"/>
  <c r="A22" i="8"/>
  <c r="A23" i="8"/>
  <c r="A24" i="8"/>
  <c r="A25" i="8"/>
  <c r="A26" i="8"/>
  <c r="A27" i="8"/>
  <c r="A28" i="8"/>
  <c r="A18" i="8"/>
  <c r="C38" i="29"/>
  <c r="D38" i="29"/>
  <c r="E38" i="29"/>
  <c r="F38" i="29"/>
  <c r="G38" i="29"/>
  <c r="H38" i="29"/>
  <c r="I38" i="29"/>
  <c r="J38" i="29"/>
  <c r="K38" i="29"/>
  <c r="L38" i="29"/>
  <c r="M38" i="29"/>
  <c r="N38" i="29"/>
  <c r="O38" i="29"/>
  <c r="P38" i="29"/>
  <c r="Q38" i="29"/>
  <c r="R38" i="29"/>
  <c r="S38" i="29"/>
  <c r="T38" i="29"/>
  <c r="U38" i="29"/>
  <c r="V38" i="29"/>
  <c r="W38" i="29"/>
  <c r="X38" i="29"/>
  <c r="Y38" i="29"/>
  <c r="Z38" i="29"/>
  <c r="AA38" i="29"/>
  <c r="AB38" i="29"/>
  <c r="AC38" i="29"/>
  <c r="AD38" i="29"/>
  <c r="AE38" i="29"/>
  <c r="AF38" i="29"/>
  <c r="AG38" i="29"/>
  <c r="AH38" i="29"/>
  <c r="AI38" i="29"/>
  <c r="AJ38" i="29"/>
  <c r="AK38" i="29"/>
  <c r="AL38" i="29"/>
  <c r="AM38" i="29"/>
  <c r="AN38" i="29"/>
  <c r="AO38" i="29"/>
  <c r="AP38" i="29"/>
  <c r="AQ38" i="29"/>
  <c r="AR38" i="29"/>
  <c r="AS38" i="29"/>
  <c r="AT38" i="29"/>
  <c r="AU38" i="29"/>
  <c r="AV38" i="29"/>
  <c r="AW38" i="29"/>
  <c r="AX38" i="29"/>
  <c r="AY38" i="29"/>
  <c r="AZ38" i="29"/>
  <c r="BA38" i="29"/>
  <c r="BB38" i="29"/>
  <c r="BC38" i="29"/>
  <c r="BD38" i="29"/>
  <c r="BE38" i="29"/>
  <c r="BF38" i="29"/>
  <c r="BG38" i="29"/>
  <c r="BH38" i="29"/>
  <c r="BI38" i="29"/>
  <c r="B38" i="11"/>
  <c r="B40" i="1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11" i="1"/>
  <c r="B12" i="1"/>
  <c r="A24" i="3"/>
  <c r="A23" i="3"/>
  <c r="A22" i="3"/>
  <c r="A21" i="3"/>
  <c r="A20" i="3"/>
  <c r="A19" i="3"/>
  <c r="A18" i="3"/>
  <c r="A17" i="3"/>
  <c r="A16" i="3"/>
  <c r="A15" i="3"/>
  <c r="N30" i="23"/>
  <c r="N17" i="23"/>
  <c r="N20" i="23"/>
  <c r="N21" i="23"/>
  <c r="D69" i="2"/>
  <c r="C69" i="2"/>
  <c r="E69" i="2"/>
  <c r="A28" i="26"/>
  <c r="A1" i="26"/>
  <c r="A28" i="25"/>
  <c r="A1" i="25"/>
  <c r="N11" i="24"/>
  <c r="A1" i="24"/>
  <c r="N28" i="23"/>
  <c r="N19" i="23"/>
  <c r="N11" i="23"/>
  <c r="A1" i="23"/>
  <c r="A7" i="22"/>
  <c r="A1" i="22"/>
  <c r="A28" i="21"/>
  <c r="A27" i="21"/>
  <c r="A26" i="21"/>
  <c r="A25" i="21"/>
  <c r="A24" i="21"/>
  <c r="A23" i="21"/>
  <c r="A22" i="21"/>
  <c r="A21" i="21"/>
  <c r="A20" i="21"/>
  <c r="A19" i="21"/>
  <c r="A18" i="21"/>
  <c r="A7" i="21"/>
  <c r="A1" i="21"/>
  <c r="N29" i="23"/>
  <c r="N29" i="24"/>
  <c r="N28" i="24"/>
  <c r="N23" i="23"/>
  <c r="N24" i="23"/>
  <c r="N26" i="23"/>
  <c r="N27" i="23"/>
  <c r="N29" i="22"/>
  <c r="N17" i="24"/>
  <c r="N19" i="24"/>
  <c r="N20" i="24"/>
  <c r="N21" i="24"/>
  <c r="N23" i="24"/>
  <c r="N24" i="24"/>
  <c r="N26" i="24"/>
  <c r="N27" i="24"/>
  <c r="N30" i="24"/>
  <c r="N31" i="23"/>
  <c r="N31" i="24"/>
  <c r="A28" i="13"/>
  <c r="A1" i="13"/>
  <c r="A28" i="12"/>
  <c r="A1" i="12"/>
  <c r="A28" i="11"/>
  <c r="A1" i="11"/>
  <c r="N11" i="10"/>
  <c r="A1" i="10"/>
  <c r="N11" i="9"/>
  <c r="A1" i="9"/>
  <c r="B7" i="8"/>
  <c r="A1" i="8"/>
  <c r="A28" i="7"/>
  <c r="A27" i="7"/>
  <c r="A26" i="7"/>
  <c r="A25" i="7"/>
  <c r="A24" i="7"/>
  <c r="A23" i="7"/>
  <c r="A22" i="7"/>
  <c r="A21" i="7"/>
  <c r="A20" i="7"/>
  <c r="A19" i="7"/>
  <c r="A18" i="7"/>
  <c r="A7" i="7"/>
  <c r="A1" i="7"/>
  <c r="A28" i="6"/>
  <c r="A27" i="6"/>
  <c r="A26" i="6"/>
  <c r="A25" i="6"/>
  <c r="A24" i="6"/>
  <c r="A23" i="6"/>
  <c r="A22" i="6"/>
  <c r="A21" i="6"/>
  <c r="A20" i="6"/>
  <c r="A19" i="6"/>
  <c r="A18" i="6"/>
  <c r="A7" i="6"/>
  <c r="A1" i="6"/>
  <c r="A28" i="5"/>
  <c r="A23" i="15"/>
  <c r="A27" i="5"/>
  <c r="A22" i="15"/>
  <c r="A26" i="5"/>
  <c r="A21" i="15"/>
  <c r="A25" i="5"/>
  <c r="A20" i="15"/>
  <c r="A24" i="5"/>
  <c r="A19" i="15"/>
  <c r="A23" i="5"/>
  <c r="A18" i="15"/>
  <c r="A22" i="5"/>
  <c r="A17" i="15"/>
  <c r="A21" i="5"/>
  <c r="A16" i="15"/>
  <c r="A20" i="5"/>
  <c r="A15" i="15"/>
  <c r="A19" i="5"/>
  <c r="A14" i="15"/>
  <c r="A18" i="5"/>
  <c r="A13" i="15"/>
  <c r="A7" i="5"/>
  <c r="A3" i="15"/>
  <c r="A1" i="5"/>
  <c r="B23" i="4"/>
  <c r="B21" i="4"/>
  <c r="B13" i="4"/>
  <c r="D4" i="4"/>
  <c r="C4" i="4"/>
  <c r="B4" i="4"/>
  <c r="B20" i="4"/>
  <c r="A4" i="4"/>
  <c r="D3" i="4"/>
  <c r="C3" i="4"/>
  <c r="B3" i="4"/>
  <c r="B32" i="8"/>
  <c r="A3" i="4"/>
  <c r="A84" i="1"/>
  <c r="B13" i="1"/>
  <c r="B82" i="1"/>
  <c r="N17" i="10"/>
  <c r="N20" i="10"/>
  <c r="N23" i="10"/>
  <c r="N27" i="10"/>
  <c r="N19" i="10"/>
  <c r="N24" i="10"/>
  <c r="E3" i="4"/>
  <c r="B19" i="4"/>
  <c r="O25" i="8"/>
  <c r="O27" i="8"/>
  <c r="O28" i="8"/>
  <c r="O31" i="8"/>
  <c r="B18" i="4"/>
  <c r="N17" i="9"/>
  <c r="N20" i="9"/>
  <c r="N23" i="9"/>
  <c r="N24" i="9"/>
  <c r="N30" i="9"/>
  <c r="N31" i="9"/>
  <c r="E4" i="4"/>
  <c r="C82" i="1"/>
  <c r="B36" i="8"/>
  <c r="B38" i="8"/>
  <c r="O32" i="8"/>
  <c r="B17" i="4"/>
  <c r="O22" i="8"/>
  <c r="B8" i="4"/>
  <c r="O18" i="8"/>
  <c r="O24" i="8"/>
  <c r="N19" i="9"/>
  <c r="N26" i="9"/>
  <c r="N27" i="9"/>
  <c r="N26" i="10"/>
  <c r="O20" i="8"/>
  <c r="O21" i="8"/>
  <c r="N21" i="9"/>
  <c r="N21" i="10"/>
  <c r="N30" i="10"/>
  <c r="N31" i="10"/>
  <c r="B40" i="8"/>
  <c r="D82" i="1"/>
  <c r="C15" i="5"/>
  <c r="E82" i="1"/>
  <c r="B15" i="5"/>
  <c r="F82" i="1"/>
  <c r="G82" i="1"/>
  <c r="D15" i="5"/>
  <c r="F15" i="5"/>
  <c r="E15" i="5"/>
  <c r="H82" i="1"/>
  <c r="I82" i="1"/>
  <c r="H15" i="5"/>
  <c r="J82" i="1"/>
  <c r="G15" i="5"/>
  <c r="K82" i="1"/>
  <c r="I15" i="5"/>
  <c r="L82" i="1"/>
  <c r="O19" i="8"/>
  <c r="O17" i="8"/>
  <c r="O23" i="8"/>
  <c r="J15" i="5"/>
  <c r="O33" i="8"/>
  <c r="M82" i="1"/>
  <c r="N11" i="5"/>
  <c r="B7" i="15"/>
  <c r="O16" i="8"/>
  <c r="N7" i="5"/>
  <c r="B3" i="15"/>
  <c r="N82" i="1"/>
  <c r="N8" i="5"/>
  <c r="O35" i="8"/>
  <c r="N10" i="5"/>
  <c r="B6" i="15"/>
  <c r="B8" i="15"/>
  <c r="B8" i="19"/>
  <c r="B7" i="19"/>
  <c r="B4" i="15"/>
  <c r="K15" i="5"/>
  <c r="B10" i="15"/>
  <c r="N12" i="5"/>
  <c r="O82" i="1"/>
  <c r="C7" i="19"/>
  <c r="B9" i="19"/>
  <c r="C8" i="19"/>
  <c r="B15" i="6"/>
  <c r="L15" i="5"/>
  <c r="N8" i="19"/>
  <c r="C9" i="19"/>
  <c r="P82" i="1"/>
  <c r="N14" i="5"/>
  <c r="N15" i="5"/>
  <c r="M15" i="5"/>
  <c r="Q82" i="1"/>
  <c r="D15" i="6"/>
  <c r="C15" i="6"/>
  <c r="R82" i="1"/>
  <c r="S82" i="1"/>
  <c r="F15" i="6"/>
  <c r="T82" i="1"/>
  <c r="E15" i="6"/>
  <c r="U82" i="1"/>
  <c r="H15" i="6"/>
  <c r="V82" i="1"/>
  <c r="G15" i="6"/>
  <c r="W82" i="1"/>
  <c r="N15" i="9"/>
  <c r="X82" i="1"/>
  <c r="N18" i="9"/>
  <c r="I15" i="6"/>
  <c r="N16" i="9"/>
  <c r="N7" i="6"/>
  <c r="C3" i="15"/>
  <c r="N10" i="9"/>
  <c r="N32" i="9"/>
  <c r="Y82" i="1"/>
  <c r="J15" i="6"/>
  <c r="N11" i="6"/>
  <c r="C7" i="15"/>
  <c r="N22" i="9"/>
  <c r="N34" i="9"/>
  <c r="N8" i="6"/>
  <c r="O7" i="19"/>
  <c r="D7" i="19"/>
  <c r="E7" i="19"/>
  <c r="C4" i="15"/>
  <c r="K15" i="6"/>
  <c r="N12" i="9"/>
  <c r="N10" i="6"/>
  <c r="C6" i="15"/>
  <c r="C8" i="15"/>
  <c r="D8" i="19"/>
  <c r="Z82" i="1"/>
  <c r="L15" i="6"/>
  <c r="N12" i="6"/>
  <c r="AA82" i="1"/>
  <c r="D9" i="19"/>
  <c r="O8" i="19"/>
  <c r="E8" i="19"/>
  <c r="C10" i="15"/>
  <c r="AB82" i="1"/>
  <c r="N14" i="6"/>
  <c r="N15" i="6"/>
  <c r="M15" i="6"/>
  <c r="E9" i="19"/>
  <c r="B15" i="7"/>
  <c r="AC82" i="1"/>
  <c r="D15" i="7"/>
  <c r="AD82" i="1"/>
  <c r="C15" i="7"/>
  <c r="AE82" i="1"/>
  <c r="AF82" i="1"/>
  <c r="E15" i="7"/>
  <c r="G15" i="7"/>
  <c r="F15" i="7"/>
  <c r="AG82" i="1"/>
  <c r="AH82" i="1"/>
  <c r="N18" i="23"/>
  <c r="H15" i="7"/>
  <c r="AI82" i="1"/>
  <c r="N18" i="24"/>
  <c r="N15" i="23"/>
  <c r="N18" i="10"/>
  <c r="I15" i="7"/>
  <c r="AJ82" i="1"/>
  <c r="N11" i="7"/>
  <c r="D7" i="15"/>
  <c r="N22" i="10"/>
  <c r="N10" i="10"/>
  <c r="N32" i="23"/>
  <c r="AK82" i="1"/>
  <c r="N16" i="10"/>
  <c r="N7" i="7"/>
  <c r="D3" i="15"/>
  <c r="J15" i="7"/>
  <c r="N32" i="10"/>
  <c r="N15" i="10"/>
  <c r="AL82" i="1"/>
  <c r="N16" i="23"/>
  <c r="N22" i="23"/>
  <c r="N34" i="23"/>
  <c r="N10" i="23"/>
  <c r="N8" i="7"/>
  <c r="N29" i="5"/>
  <c r="K15" i="7"/>
  <c r="O29" i="8"/>
  <c r="N12" i="10"/>
  <c r="N10" i="7"/>
  <c r="O30" i="8"/>
  <c r="N34" i="10"/>
  <c r="F7" i="19"/>
  <c r="P7" i="19"/>
  <c r="D4" i="15"/>
  <c r="B15" i="21"/>
  <c r="AM82" i="1"/>
  <c r="D6" i="15"/>
  <c r="D8" i="15"/>
  <c r="F8" i="19"/>
  <c r="G8" i="19"/>
  <c r="N12" i="23"/>
  <c r="N14" i="7"/>
  <c r="N15" i="7"/>
  <c r="M15" i="7"/>
  <c r="G7" i="19"/>
  <c r="N12" i="7"/>
  <c r="L15" i="7"/>
  <c r="AN82" i="1"/>
  <c r="F9" i="19"/>
  <c r="P8" i="19"/>
  <c r="D10" i="15"/>
  <c r="C15" i="21"/>
  <c r="AO82" i="1"/>
  <c r="G9" i="19"/>
  <c r="D15" i="21"/>
  <c r="AP82" i="1"/>
  <c r="E15" i="21"/>
  <c r="AQ82" i="1"/>
  <c r="AR82" i="1"/>
  <c r="G15" i="21"/>
  <c r="F15" i="21"/>
  <c r="AS82" i="1"/>
  <c r="H15" i="21"/>
  <c r="AT82" i="1"/>
  <c r="AU82" i="1"/>
  <c r="I15" i="21"/>
  <c r="AV82" i="1"/>
  <c r="J15" i="21"/>
  <c r="N11" i="21"/>
  <c r="E7" i="15"/>
  <c r="N32" i="24"/>
  <c r="AW82" i="1"/>
  <c r="N12" i="24"/>
  <c r="N10" i="24"/>
  <c r="N15" i="24"/>
  <c r="K15" i="21"/>
  <c r="N16" i="24"/>
  <c r="N22" i="24"/>
  <c r="N7" i="21"/>
  <c r="E3" i="15"/>
  <c r="N34" i="24"/>
  <c r="L15" i="21"/>
  <c r="AX82" i="1"/>
  <c r="Q7" i="19"/>
  <c r="H7" i="19"/>
  <c r="E4" i="15"/>
  <c r="N12" i="21"/>
  <c r="N10" i="21"/>
  <c r="E6" i="15"/>
  <c r="E8" i="15"/>
  <c r="H8" i="19"/>
  <c r="I8" i="19"/>
  <c r="M15" i="21"/>
  <c r="N8" i="21"/>
  <c r="N14" i="21"/>
  <c r="N15" i="21"/>
  <c r="AY82" i="1"/>
  <c r="E10" i="15"/>
  <c r="H9" i="19"/>
  <c r="I7" i="19"/>
  <c r="B15" i="22"/>
  <c r="C15" i="22"/>
  <c r="Q8" i="19"/>
  <c r="I9" i="19"/>
  <c r="AZ82" i="1"/>
  <c r="E15" i="22"/>
  <c r="D15" i="22"/>
  <c r="BA82" i="1"/>
  <c r="BB82" i="1"/>
  <c r="BC82" i="1"/>
  <c r="F15" i="22"/>
  <c r="H15" i="22"/>
  <c r="BD82" i="1"/>
  <c r="BE82" i="1"/>
  <c r="G15" i="22"/>
  <c r="BF82" i="1"/>
  <c r="I15" i="22"/>
  <c r="J15" i="22"/>
  <c r="BG82" i="1"/>
  <c r="L15" i="22"/>
  <c r="N11" i="22"/>
  <c r="F7" i="15"/>
  <c r="BH82" i="1"/>
  <c r="K15" i="22"/>
  <c r="N7" i="22"/>
  <c r="F3" i="15"/>
  <c r="BI82" i="1"/>
  <c r="F4" i="15"/>
  <c r="R7" i="19"/>
  <c r="J7" i="19"/>
  <c r="N12" i="22"/>
  <c r="N10" i="22"/>
  <c r="F6" i="15"/>
  <c r="F8" i="15"/>
  <c r="J8" i="19"/>
  <c r="K8" i="19"/>
  <c r="N8" i="22"/>
  <c r="K7" i="19"/>
  <c r="J9" i="19"/>
  <c r="F10" i="15"/>
  <c r="N14" i="22"/>
  <c r="N15" i="22"/>
  <c r="M15" i="22"/>
  <c r="K9" i="19"/>
  <c r="R8" i="19"/>
  <c r="N29" i="6"/>
  <c r="N29" i="9"/>
  <c r="N28" i="9"/>
  <c r="N28" i="10"/>
  <c r="N29" i="10"/>
  <c r="N29" i="7"/>
  <c r="N29" i="21"/>
  <c r="B10" i="19"/>
  <c r="C10" i="19"/>
  <c r="N32" i="5"/>
  <c r="O26" i="8"/>
  <c r="N10" i="19"/>
  <c r="N25" i="9"/>
  <c r="B31" i="15"/>
  <c r="D10" i="19"/>
  <c r="E10" i="19"/>
  <c r="K101" i="16"/>
  <c r="J101" i="16"/>
  <c r="L101" i="16"/>
  <c r="M101" i="16"/>
  <c r="F101" i="16"/>
  <c r="H101" i="16"/>
  <c r="N25" i="10"/>
  <c r="G101" i="16"/>
  <c r="I101" i="16"/>
  <c r="D101" i="16"/>
  <c r="F10" i="19"/>
  <c r="G10" i="19"/>
  <c r="C101" i="16"/>
  <c r="E101" i="16"/>
  <c r="O34" i="8"/>
  <c r="B101" i="16"/>
  <c r="B11" i="19"/>
  <c r="N32" i="6"/>
  <c r="N25" i="24"/>
  <c r="N32" i="7"/>
  <c r="N25" i="23"/>
  <c r="C11" i="19"/>
  <c r="N9" i="19"/>
  <c r="N32" i="21"/>
  <c r="J10" i="19"/>
  <c r="K10" i="19"/>
  <c r="O36" i="8"/>
  <c r="H10" i="19"/>
  <c r="I10" i="19"/>
  <c r="O10" i="19"/>
  <c r="C31" i="15"/>
  <c r="O38" i="8"/>
  <c r="C40" i="8"/>
  <c r="D40" i="8"/>
  <c r="E40" i="8"/>
  <c r="F40" i="8"/>
  <c r="G40" i="8"/>
  <c r="H40" i="8"/>
  <c r="I40" i="8"/>
  <c r="J40" i="8"/>
  <c r="K40" i="8"/>
  <c r="L40" i="8"/>
  <c r="M40" i="8"/>
  <c r="N40" i="8"/>
  <c r="O40" i="8"/>
  <c r="N32" i="22"/>
  <c r="P10" i="19"/>
  <c r="Y101" i="16"/>
  <c r="U101" i="16"/>
  <c r="Q101" i="16"/>
  <c r="D31" i="15"/>
  <c r="E31" i="15"/>
  <c r="F31" i="15"/>
  <c r="X101" i="16"/>
  <c r="T101" i="16"/>
  <c r="P101" i="16"/>
  <c r="Q10" i="19"/>
  <c r="W101" i="16"/>
  <c r="S101" i="16"/>
  <c r="O101" i="16"/>
  <c r="V101" i="16"/>
  <c r="R101" i="16"/>
  <c r="AJ101" i="16"/>
  <c r="AF101" i="16"/>
  <c r="AB101" i="16"/>
  <c r="R10" i="19"/>
  <c r="AI101" i="16"/>
  <c r="AE101" i="16"/>
  <c r="AA101" i="16"/>
  <c r="N33" i="9"/>
  <c r="AH101" i="16"/>
  <c r="AD101" i="16"/>
  <c r="AK101" i="16"/>
  <c r="AG101" i="16"/>
  <c r="AC101" i="16"/>
  <c r="N38" i="6"/>
  <c r="C33" i="15"/>
  <c r="D11" i="19"/>
  <c r="N101" i="16"/>
  <c r="N33" i="10"/>
  <c r="N35" i="9"/>
  <c r="O9" i="19"/>
  <c r="E11" i="19"/>
  <c r="Z101" i="16"/>
  <c r="N38" i="7"/>
  <c r="N33" i="24"/>
  <c r="N35" i="10"/>
  <c r="F33" i="15"/>
  <c r="J11" i="19"/>
  <c r="D33" i="15"/>
  <c r="F11" i="19"/>
  <c r="E33" i="15"/>
  <c r="H11" i="19"/>
  <c r="N38" i="21"/>
  <c r="N37" i="9"/>
  <c r="B39" i="9"/>
  <c r="C39" i="9"/>
  <c r="D39" i="9"/>
  <c r="E39" i="9"/>
  <c r="F39" i="9"/>
  <c r="G39" i="9"/>
  <c r="H39" i="9"/>
  <c r="I39" i="9"/>
  <c r="J39" i="9"/>
  <c r="K39" i="9"/>
  <c r="L39" i="9"/>
  <c r="M39" i="9"/>
  <c r="N39" i="9"/>
  <c r="N38" i="22"/>
  <c r="N33" i="23"/>
  <c r="I11" i="19"/>
  <c r="Q9" i="19"/>
  <c r="B39" i="10"/>
  <c r="C39" i="10"/>
  <c r="D39" i="10"/>
  <c r="E39" i="10"/>
  <c r="F39" i="10"/>
  <c r="G39" i="10"/>
  <c r="H39" i="10"/>
  <c r="I39" i="10"/>
  <c r="J39" i="10"/>
  <c r="K39" i="10"/>
  <c r="L39" i="10"/>
  <c r="M39" i="10"/>
  <c r="N39" i="10"/>
  <c r="N37" i="10"/>
  <c r="P9" i="19"/>
  <c r="G11" i="19"/>
  <c r="N35" i="24"/>
  <c r="K11" i="19"/>
  <c r="R9" i="19"/>
  <c r="N35" i="23"/>
  <c r="N37" i="24"/>
  <c r="B39" i="24"/>
  <c r="C39" i="24"/>
  <c r="D39" i="24"/>
  <c r="E39" i="24"/>
  <c r="F39" i="24"/>
  <c r="G39" i="24"/>
  <c r="H39" i="24"/>
  <c r="I39" i="24"/>
  <c r="J39" i="24"/>
  <c r="K39" i="24"/>
  <c r="L39" i="24"/>
  <c r="M39" i="24"/>
  <c r="N39" i="24"/>
  <c r="B39" i="23"/>
  <c r="C39" i="23"/>
  <c r="D39" i="23"/>
  <c r="E39" i="23"/>
  <c r="F39" i="23"/>
  <c r="G39" i="23"/>
  <c r="H39" i="23"/>
  <c r="I39" i="23"/>
  <c r="J39" i="23"/>
  <c r="K39" i="23"/>
  <c r="L39" i="23"/>
  <c r="M39" i="23"/>
  <c r="N39" i="23"/>
  <c r="N37" i="23"/>
  <c r="O7" i="8"/>
  <c r="N7" i="9"/>
  <c r="N7" i="10"/>
  <c r="N7" i="24"/>
  <c r="N7" i="23"/>
</calcChain>
</file>

<file path=xl/comments1.xml><?xml version="1.0" encoding="utf-8"?>
<comments xmlns="http://schemas.openxmlformats.org/spreadsheetml/2006/main">
  <authors>
    <author>Adam Hoeksema</author>
  </authors>
  <commentList>
    <comment ref="M10" authorId="0" shapeId="0">
      <text>
        <r>
          <rPr>
            <b/>
            <sz val="9"/>
            <color indexed="81"/>
            <rFont val="Tahoma"/>
            <family val="2"/>
          </rPr>
          <t>Adam Hoeksema:</t>
        </r>
        <r>
          <rPr>
            <sz val="9"/>
            <color indexed="81"/>
            <rFont val="Tahoma"/>
            <family val="2"/>
          </rPr>
          <t xml:space="preserve">
 (only show if they have a loan added)</t>
        </r>
      </text>
    </comment>
  </commentList>
</comments>
</file>

<file path=xl/sharedStrings.xml><?xml version="1.0" encoding="utf-8"?>
<sst xmlns="http://schemas.openxmlformats.org/spreadsheetml/2006/main" count="623" uniqueCount="241">
  <si>
    <t>Company Name</t>
  </si>
  <si>
    <t>What percentage of your monthly sales do you typically hold in inventory?</t>
  </si>
  <si>
    <t>What is the dollar value of the inventory you currently have on hand?</t>
  </si>
  <si>
    <t>Sources and Uses</t>
  </si>
  <si>
    <t>Source of Funds</t>
  </si>
  <si>
    <t>What is your current cash balance?</t>
  </si>
  <si>
    <t>Add: Current Loans</t>
  </si>
  <si>
    <t>Add: Proposed Loans</t>
  </si>
  <si>
    <t>Total Sources of Funds</t>
  </si>
  <si>
    <t>Fixed Assets</t>
  </si>
  <si>
    <t>Equipment</t>
  </si>
  <si>
    <t>Value</t>
  </si>
  <si>
    <t>Life Expectancy in Years</t>
  </si>
  <si>
    <t>Salvage Cost</t>
  </si>
  <si>
    <t>Month Purchased</t>
  </si>
  <si>
    <t>Furniture</t>
  </si>
  <si>
    <t>Products</t>
  </si>
  <si>
    <t>Month</t>
  </si>
  <si>
    <t>Owner Draw</t>
  </si>
  <si>
    <t>Operating Expenses</t>
  </si>
  <si>
    <t>Office Supplies</t>
  </si>
  <si>
    <t>Travel</t>
  </si>
  <si>
    <t>Utilities</t>
  </si>
  <si>
    <t>Miscellaneous Expense %</t>
  </si>
  <si>
    <t>Income Tax %</t>
  </si>
  <si>
    <t>Accounts Payable Terms</t>
  </si>
  <si>
    <t>Monthly Total Sales</t>
  </si>
  <si>
    <t>Monthly Material Cost</t>
  </si>
  <si>
    <t>Monthly Labor Cost</t>
  </si>
  <si>
    <t>Monthly Total COGS</t>
  </si>
  <si>
    <t>Monthly Depreciation</t>
  </si>
  <si>
    <t>Product Sales</t>
  </si>
  <si>
    <t>Bank Loan</t>
  </si>
  <si>
    <t>Loan Amount</t>
  </si>
  <si>
    <t>Length of Loan in Months</t>
  </si>
  <si>
    <t>Interest Rate</t>
  </si>
  <si>
    <t>Month Payments Will Start On</t>
  </si>
  <si>
    <t>Payment Number</t>
  </si>
  <si>
    <t>Total Payment</t>
  </si>
  <si>
    <t>Interest Amount</t>
  </si>
  <si>
    <t>Principal Amount</t>
  </si>
  <si>
    <t>Loan Balance</t>
  </si>
  <si>
    <t>Job Title</t>
  </si>
  <si>
    <t>Annual Salary</t>
  </si>
  <si>
    <t>Employer Taxes</t>
  </si>
  <si>
    <t>Benefits</t>
  </si>
  <si>
    <t>Month Started</t>
  </si>
  <si>
    <t>Month Ending</t>
  </si>
  <si>
    <t># of this Particular Employee</t>
  </si>
  <si>
    <t>Startup Sources and Uses</t>
  </si>
  <si>
    <t>Useful Life</t>
  </si>
  <si>
    <t>Required Starting Cash Balance</t>
  </si>
  <si>
    <t>How much inventory will you start with?</t>
  </si>
  <si>
    <t>Other One Time Startup Costs</t>
  </si>
  <si>
    <t>Total Startup Costs</t>
  </si>
  <si>
    <t>Sources of Funding</t>
  </si>
  <si>
    <t>Personal Investment/Personal Savings</t>
  </si>
  <si>
    <t>Outside Investment</t>
  </si>
  <si>
    <t>Loans</t>
  </si>
  <si>
    <t>Uses of Funding</t>
  </si>
  <si>
    <t>Land</t>
  </si>
  <si>
    <t>Building</t>
  </si>
  <si>
    <t>Starting Inventory</t>
  </si>
  <si>
    <t>Pro Forma Income Statement</t>
  </si>
  <si>
    <t>Year 1</t>
  </si>
  <si>
    <t>Sales:</t>
  </si>
  <si>
    <t>Total Sales</t>
  </si>
  <si>
    <t>Material Cost</t>
  </si>
  <si>
    <t>Labor Cost</t>
  </si>
  <si>
    <t>Cost of Goods Sold</t>
  </si>
  <si>
    <t>Gross Margin</t>
  </si>
  <si>
    <t>Percent</t>
  </si>
  <si>
    <t>Loan Interest Expense</t>
  </si>
  <si>
    <t>Miscellaneous Expense</t>
  </si>
  <si>
    <t>Depreciation Expense</t>
  </si>
  <si>
    <t>Total Operating Expenses</t>
  </si>
  <si>
    <t>Net Profit</t>
  </si>
  <si>
    <t>Income Tax</t>
  </si>
  <si>
    <t>Net Income</t>
  </si>
  <si>
    <t xml:space="preserve">, </t>
  </si>
  <si>
    <t>Year 2</t>
  </si>
  <si>
    <t>Year 3</t>
  </si>
  <si>
    <t>Cash Flow Statement</t>
  </si>
  <si>
    <t>Cash Balance</t>
  </si>
  <si>
    <t>Cash Receipts</t>
  </si>
  <si>
    <t>Total Cash Receipts</t>
  </si>
  <si>
    <t>Cash Disbursements</t>
  </si>
  <si>
    <t>Material Costs</t>
  </si>
  <si>
    <t>Labor Costs</t>
  </si>
  <si>
    <t>Loan Principal Expense</t>
  </si>
  <si>
    <t>Capital Purchases</t>
  </si>
  <si>
    <t>Miscellaneous</t>
  </si>
  <si>
    <t>Change in Inventory</t>
  </si>
  <si>
    <t>Total Cash Disbursements</t>
  </si>
  <si>
    <t>Net Cash Flow</t>
  </si>
  <si>
    <t>Cumulative Cash Flow</t>
  </si>
  <si>
    <t>Balance Sheet</t>
  </si>
  <si>
    <t>Months</t>
  </si>
  <si>
    <t>Assets:</t>
  </si>
  <si>
    <t>Current Assets:</t>
  </si>
  <si>
    <t>Cash</t>
  </si>
  <si>
    <t>Accounts Receivable</t>
  </si>
  <si>
    <t>Inventory</t>
  </si>
  <si>
    <t>Total Current Assets</t>
  </si>
  <si>
    <t>Fixed Assets:</t>
  </si>
  <si>
    <t>Accumulated Depreciation</t>
  </si>
  <si>
    <t>Total Fixed Assets Net</t>
  </si>
  <si>
    <t>Total Assets</t>
  </si>
  <si>
    <t>Liabilities and Equity</t>
  </si>
  <si>
    <t>Current Liabilities:</t>
  </si>
  <si>
    <t>Accounts Payable</t>
  </si>
  <si>
    <t>Total Current Liabilities</t>
  </si>
  <si>
    <t>Long-Term Liabilities:</t>
  </si>
  <si>
    <t>Total Long-Term Liabilities</t>
  </si>
  <si>
    <t>Total Liabilities</t>
  </si>
  <si>
    <t>Shareholder's Equity:</t>
  </si>
  <si>
    <t>Paid in Capital</t>
  </si>
  <si>
    <t>Additional Equity Injections</t>
  </si>
  <si>
    <t>Retained Earnings</t>
  </si>
  <si>
    <t>Total Equity</t>
  </si>
  <si>
    <t>Total Liabilities and Equity</t>
  </si>
  <si>
    <t>Sales</t>
  </si>
  <si>
    <t>Revenue</t>
  </si>
  <si>
    <t>Gross Profit</t>
  </si>
  <si>
    <t>Key Ratios</t>
  </si>
  <si>
    <t>Profit and Loss at a Glance</t>
  </si>
  <si>
    <t>Gross Profit Margin</t>
  </si>
  <si>
    <t>Profit Margin</t>
  </si>
  <si>
    <t>Debt Service Coverage Ratio</t>
  </si>
  <si>
    <t>Sales Growth</t>
  </si>
  <si>
    <t>N/A</t>
  </si>
  <si>
    <t>EBITDA/Annual Debt Service</t>
  </si>
  <si>
    <t>Income Statement Report</t>
  </si>
  <si>
    <t>Balance Sheet Report</t>
  </si>
  <si>
    <t>Cash Flow Report</t>
  </si>
  <si>
    <t>Average Order $ Amount</t>
  </si>
  <si>
    <t># of Orders</t>
  </si>
  <si>
    <t>Year 4</t>
  </si>
  <si>
    <t>Year 5</t>
  </si>
  <si>
    <t>Professional, Accounting and Legal</t>
  </si>
  <si>
    <t>Maintenance and Repairs</t>
  </si>
  <si>
    <t>Meals/Gifts/Entertainment</t>
  </si>
  <si>
    <t>Research and Development</t>
  </si>
  <si>
    <t>Salaries and Wages</t>
  </si>
  <si>
    <t>Taxes and Licenses</t>
  </si>
  <si>
    <t>Training</t>
  </si>
  <si>
    <t>Web Hosting and Domains</t>
  </si>
  <si>
    <t>Office Lease</t>
  </si>
  <si>
    <t>Marketing &amp; Advertising</t>
  </si>
  <si>
    <t>Business Insurance</t>
  </si>
  <si>
    <t>Telephone &amp; Internet</t>
  </si>
  <si>
    <t>Revenue Projections</t>
  </si>
  <si>
    <t>% Growth Rate</t>
  </si>
  <si>
    <t>Total Revenue</t>
  </si>
  <si>
    <t>Marketing Lead</t>
  </si>
  <si>
    <t>Director of HR</t>
  </si>
  <si>
    <t>All Total Salaries</t>
  </si>
  <si>
    <t>Other Assets</t>
  </si>
  <si>
    <t>Total Labor Cost</t>
  </si>
  <si>
    <t>Total Material Cost</t>
  </si>
  <si>
    <t>Total Salaries</t>
  </si>
  <si>
    <t>Monthly $ amount of paid ad budget</t>
  </si>
  <si>
    <t>% growth rate</t>
  </si>
  <si>
    <t>$ cost per click for website visitor</t>
  </si>
  <si>
    <t>Total website visitors from paid ads</t>
  </si>
  <si>
    <t># of Organic website visitors</t>
  </si>
  <si>
    <t># of website visitors from Social Media</t>
  </si>
  <si>
    <t># of website visitors from affiliate marketing</t>
  </si>
  <si>
    <t>Total website visitors</t>
  </si>
  <si>
    <t>% of purchases that are Basic model</t>
  </si>
  <si>
    <t>% of purchases that are Basic + model</t>
  </si>
  <si>
    <t>% of purchases that are Custom model</t>
  </si>
  <si>
    <t>$ price for Basic model</t>
  </si>
  <si>
    <t>$ price for Basic + model</t>
  </si>
  <si>
    <t>$ price for Custom model</t>
  </si>
  <si>
    <t>Average Labor Cost for Basic Model Assembly</t>
  </si>
  <si>
    <t>Average Labor Cost for Basic + Model Assembly</t>
  </si>
  <si>
    <t>Average Labor Cost for Custom Model Assembly</t>
  </si>
  <si>
    <t># of Basic + model purchased</t>
  </si>
  <si>
    <t># of Basic model purchased</t>
  </si>
  <si>
    <t># of Custom models purchased</t>
  </si>
  <si>
    <t>Average Material Cost for Basic Model</t>
  </si>
  <si>
    <t>Average Material Cost for Basic + Model</t>
  </si>
  <si>
    <t>Average Material Cost for Custom Model</t>
  </si>
  <si>
    <t># of website visitors from miscellaneous sources</t>
  </si>
  <si>
    <t>Suppliers</t>
  </si>
  <si>
    <t>Paying up front</t>
  </si>
  <si>
    <t>Tooling up front</t>
  </si>
  <si>
    <t>50% up front and 50% on delivery</t>
  </si>
  <si>
    <t>After money - deliver 6 months</t>
  </si>
  <si>
    <t>% of customer base that will buy accessories in any given month</t>
  </si>
  <si>
    <t># of customer accessory orders</t>
  </si>
  <si>
    <t>Average accessory order $ amount</t>
  </si>
  <si>
    <t>Accessory Revenue</t>
  </si>
  <si>
    <t>% of customer base that will buy branded clothing items in any given month</t>
  </si>
  <si>
    <t># of customer clothing item orders</t>
  </si>
  <si>
    <t>Average clothing item order $ amount</t>
  </si>
  <si>
    <t>Branded Clothing Revenue</t>
  </si>
  <si>
    <t>Average % Cost of Goods Sold for Accessories</t>
  </si>
  <si>
    <t>Accessory Cost of Goods Sold</t>
  </si>
  <si>
    <t>Average % Cost of Goods Sold for Clothing Items</t>
  </si>
  <si>
    <t>Clothing Items Cost of Goods Sold</t>
  </si>
  <si>
    <t>Tooling</t>
  </si>
  <si>
    <t>Electronics Development</t>
  </si>
  <si>
    <t>App Development</t>
  </si>
  <si>
    <t>Assembly Tables</t>
  </si>
  <si>
    <t>R&amp;D</t>
  </si>
  <si>
    <t>Computers, Desks, Furniture, etc</t>
  </si>
  <si>
    <t>Investments</t>
  </si>
  <si>
    <t>Investment A</t>
  </si>
  <si>
    <t>Investment B</t>
  </si>
  <si>
    <t>Investment C</t>
  </si>
  <si>
    <t>Total Investments</t>
  </si>
  <si>
    <t>Average Cost per Unit</t>
  </si>
  <si>
    <t>Cash Outlay</t>
  </si>
  <si>
    <t>Scooter Units Sold</t>
  </si>
  <si>
    <t>Units Available for Sale</t>
  </si>
  <si>
    <t>Reorder 1,000 units when inventory level reaches this level</t>
  </si>
  <si>
    <t>Inventory Value</t>
  </si>
  <si>
    <t>VP Engineering</t>
  </si>
  <si>
    <t>CTO</t>
  </si>
  <si>
    <t>CEO / Design</t>
  </si>
  <si>
    <t>Supply Chain Engineer</t>
  </si>
  <si>
    <t xml:space="preserve">Web Designer </t>
  </si>
  <si>
    <t>Mechanical Engineer</t>
  </si>
  <si>
    <t>Director of Operations / CS</t>
  </si>
  <si>
    <t>Contingency Expense</t>
  </si>
  <si>
    <t>% of Revenue</t>
  </si>
  <si>
    <t xml:space="preserve">Salaried Positions </t>
  </si>
  <si>
    <t>Accessory Units Ordered</t>
  </si>
  <si>
    <t>Accessory Units Sold</t>
  </si>
  <si>
    <t>Clothing Units Ordered</t>
  </si>
  <si>
    <t>Clothing Units Sold</t>
  </si>
  <si>
    <t>Example Manufacturing Company</t>
  </si>
  <si>
    <t>This template is brought to you by ProjectionHub - a web application that helps entrepreneurs create</t>
  </si>
  <si>
    <t>financial projections for business plans, investors and lenders.</t>
  </si>
  <si>
    <t>% of website visitors that will purchase</t>
  </si>
  <si>
    <t># of Units purchased</t>
  </si>
  <si>
    <t>Total Revenue from Unit Purchases</t>
  </si>
  <si>
    <t>Lifetime # of customers</t>
  </si>
  <si>
    <t>Units Ordered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</si>
</sst>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164" formatCode="\$#,##0.00_-;[Red]\(\$#,##0.00\)"/>
    <numFmt numFmtId="165" formatCode="#,##0_-;[Red]\(#,##0\)"/>
    <numFmt numFmtId="166" formatCode="\$#,##0_-;[Red]\(\$#,##0\)"/>
    <numFmt numFmtId="167" formatCode="_(&quot;$&quot;* #,##0_);_(&quot;$&quot;* \(#,##0\);_(&quot;$&quot;* &quot;-&quot;??_);_(@_)"/>
    <numFmt numFmtId="168" formatCode="[$$-409]#,##0;[Red]\-[$$-409]#,##0"/>
    <numFmt numFmtId="169" formatCode="0.0%"/>
  </numFmts>
  <fonts count="16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.5"/>
      <color rgb="FF222222"/>
      <name val="Arial"/>
      <family val="2"/>
    </font>
    <font>
      <b/>
      <sz val="16"/>
      <name val="Calibri"/>
      <family val="2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b/>
      <u/>
      <sz val="14"/>
      <color rgb="FF0000FF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8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</cellStyleXfs>
  <cellXfs count="81">
    <xf numFmtId="0" fontId="0" fillId="0" borderId="0" xfId="0"/>
    <xf numFmtId="0" fontId="0" fillId="0" borderId="0" xfId="0" applyAlignment="1">
      <alignment wrapText="1"/>
    </xf>
    <xf numFmtId="10" fontId="0" fillId="0" borderId="0" xfId="0" applyNumberFormat="1"/>
    <xf numFmtId="164" fontId="0" fillId="0" borderId="0" xfId="0" applyNumberFormat="1"/>
    <xf numFmtId="0" fontId="1" fillId="0" borderId="0" xfId="0" applyFont="1"/>
    <xf numFmtId="165" fontId="0" fillId="0" borderId="0" xfId="0" applyNumberFormat="1"/>
    <xf numFmtId="166" fontId="0" fillId="0" borderId="0" xfId="0" applyNumberFormat="1"/>
    <xf numFmtId="166" fontId="1" fillId="0" borderId="0" xfId="0" applyNumberFormat="1" applyFont="1"/>
    <xf numFmtId="166" fontId="1" fillId="0" borderId="1" xfId="0" applyNumberFormat="1" applyFont="1" applyBorder="1"/>
    <xf numFmtId="166" fontId="1" fillId="0" borderId="2" xfId="0" applyNumberFormat="1" applyFont="1" applyBorder="1"/>
    <xf numFmtId="166" fontId="1" fillId="0" borderId="3" xfId="0" applyNumberFormat="1" applyFont="1" applyBorder="1"/>
    <xf numFmtId="10" fontId="1" fillId="0" borderId="0" xfId="0" applyNumberFormat="1" applyFont="1"/>
    <xf numFmtId="166" fontId="0" fillId="0" borderId="4" xfId="0" applyNumberFormat="1" applyBorder="1"/>
    <xf numFmtId="0" fontId="0" fillId="0" borderId="4" xfId="0" applyBorder="1"/>
    <xf numFmtId="166" fontId="0" fillId="0" borderId="5" xfId="0" applyNumberFormat="1" applyBorder="1"/>
    <xf numFmtId="166" fontId="1" fillId="0" borderId="6" xfId="0" applyNumberFormat="1" applyFont="1" applyBorder="1"/>
    <xf numFmtId="0" fontId="2" fillId="0" borderId="0" xfId="0" applyFont="1"/>
    <xf numFmtId="0" fontId="0" fillId="2" borderId="0" xfId="0" applyFill="1"/>
    <xf numFmtId="10" fontId="0" fillId="3" borderId="0" xfId="0" applyNumberFormat="1" applyFill="1"/>
    <xf numFmtId="164" fontId="0" fillId="3" borderId="0" xfId="0" applyNumberFormat="1" applyFill="1"/>
    <xf numFmtId="0" fontId="0" fillId="3" borderId="0" xfId="0" applyFill="1"/>
    <xf numFmtId="165" fontId="0" fillId="3" borderId="0" xfId="0" applyNumberFormat="1" applyFill="1"/>
    <xf numFmtId="167" fontId="0" fillId="0" borderId="0" xfId="1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167" fontId="0" fillId="0" borderId="7" xfId="1" applyNumberFormat="1" applyFont="1" applyBorder="1"/>
    <xf numFmtId="167" fontId="0" fillId="0" borderId="8" xfId="1" applyNumberFormat="1" applyFont="1" applyBorder="1"/>
    <xf numFmtId="9" fontId="0" fillId="0" borderId="0" xfId="2" applyFont="1"/>
    <xf numFmtId="9" fontId="0" fillId="0" borderId="7" xfId="2" applyFont="1" applyBorder="1"/>
    <xf numFmtId="9" fontId="0" fillId="0" borderId="8" xfId="2" applyFont="1" applyBorder="1"/>
    <xf numFmtId="0" fontId="5" fillId="0" borderId="0" xfId="0" applyFont="1"/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4" fillId="0" borderId="12" xfId="0" applyFont="1" applyBorder="1"/>
    <xf numFmtId="0" fontId="4" fillId="0" borderId="0" xfId="0" applyFont="1" applyBorder="1"/>
    <xf numFmtId="0" fontId="5" fillId="0" borderId="12" xfId="0" applyFont="1" applyBorder="1"/>
    <xf numFmtId="0" fontId="5" fillId="0" borderId="0" xfId="0" applyFont="1" applyBorder="1"/>
    <xf numFmtId="9" fontId="0" fillId="0" borderId="0" xfId="2" applyFont="1" applyBorder="1"/>
    <xf numFmtId="9" fontId="0" fillId="0" borderId="13" xfId="2" applyFont="1" applyBorder="1"/>
    <xf numFmtId="0" fontId="5" fillId="0" borderId="14" xfId="0" applyFont="1" applyBorder="1"/>
    <xf numFmtId="2" fontId="0" fillId="0" borderId="15" xfId="0" applyNumberFormat="1" applyBorder="1"/>
    <xf numFmtId="167" fontId="0" fillId="0" borderId="0" xfId="1" applyNumberFormat="1" applyFont="1" applyBorder="1"/>
    <xf numFmtId="0" fontId="5" fillId="3" borderId="0" xfId="0" applyFont="1" applyFill="1"/>
    <xf numFmtId="9" fontId="0" fillId="3" borderId="0" xfId="2" applyFont="1" applyFill="1"/>
    <xf numFmtId="0" fontId="4" fillId="0" borderId="0" xfId="0" applyFont="1" applyAlignment="1">
      <alignment horizontal="center"/>
    </xf>
    <xf numFmtId="0" fontId="0" fillId="0" borderId="16" xfId="0" applyBorder="1"/>
    <xf numFmtId="0" fontId="0" fillId="0" borderId="0" xfId="0" applyFill="1"/>
    <xf numFmtId="44" fontId="0" fillId="0" borderId="0" xfId="1" applyFont="1"/>
    <xf numFmtId="44" fontId="0" fillId="3" borderId="0" xfId="1" applyFont="1" applyFill="1"/>
    <xf numFmtId="9" fontId="0" fillId="3" borderId="0" xfId="0" applyNumberFormat="1" applyFill="1"/>
    <xf numFmtId="44" fontId="0" fillId="0" borderId="0" xfId="0" applyNumberFormat="1"/>
    <xf numFmtId="44" fontId="0" fillId="0" borderId="0" xfId="1" applyFont="1" applyFill="1"/>
    <xf numFmtId="167" fontId="0" fillId="0" borderId="1" xfId="1" applyNumberFormat="1" applyFont="1" applyBorder="1"/>
    <xf numFmtId="0" fontId="5" fillId="0" borderId="0" xfId="0" applyFont="1" applyFill="1"/>
    <xf numFmtId="164" fontId="0" fillId="0" borderId="0" xfId="0" applyNumberFormat="1" applyFill="1"/>
    <xf numFmtId="0" fontId="0" fillId="4" borderId="0" xfId="0" applyFill="1"/>
    <xf numFmtId="168" fontId="0" fillId="0" borderId="0" xfId="0" applyNumberFormat="1"/>
    <xf numFmtId="0" fontId="3" fillId="3" borderId="0" xfId="0" applyFont="1" applyFill="1"/>
    <xf numFmtId="0" fontId="3" fillId="0" borderId="0" xfId="0" applyFont="1"/>
    <xf numFmtId="1" fontId="0" fillId="0" borderId="0" xfId="0" applyNumberFormat="1"/>
    <xf numFmtId="10" fontId="0" fillId="0" borderId="0" xfId="2" applyNumberFormat="1" applyFont="1"/>
    <xf numFmtId="44" fontId="0" fillId="3" borderId="0" xfId="0" applyNumberFormat="1" applyFill="1"/>
    <xf numFmtId="44" fontId="1" fillId="0" borderId="0" xfId="0" applyNumberFormat="1" applyFont="1"/>
    <xf numFmtId="0" fontId="1" fillId="0" borderId="0" xfId="0" applyFont="1" applyFill="1"/>
    <xf numFmtId="2" fontId="0" fillId="0" borderId="0" xfId="0" applyNumberFormat="1"/>
    <xf numFmtId="10" fontId="0" fillId="3" borderId="0" xfId="2" applyNumberFormat="1" applyFont="1" applyFill="1"/>
    <xf numFmtId="1" fontId="0" fillId="3" borderId="0" xfId="0" applyNumberFormat="1" applyFill="1"/>
    <xf numFmtId="0" fontId="11" fillId="0" borderId="0" xfId="0" applyFont="1" applyAlignment="1">
      <alignment vertical="center"/>
    </xf>
    <xf numFmtId="0" fontId="0" fillId="3" borderId="0" xfId="0" applyFont="1" applyFill="1"/>
    <xf numFmtId="169" fontId="0" fillId="3" borderId="0" xfId="2" applyNumberFormat="1" applyFont="1" applyFill="1"/>
    <xf numFmtId="9" fontId="0" fillId="0" borderId="0" xfId="2" applyFont="1" applyFill="1"/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Font="1" applyAlignment="1"/>
    <xf numFmtId="0" fontId="15" fillId="0" borderId="0" xfId="0" applyFont="1" applyAlignment="1">
      <alignment horizontal="center"/>
    </xf>
    <xf numFmtId="0" fontId="13" fillId="0" borderId="0" xfId="0" applyFont="1" applyAlignment="1"/>
    <xf numFmtId="0" fontId="12" fillId="0" borderId="0" xfId="0" applyFont="1" applyAlignment="1"/>
    <xf numFmtId="0" fontId="14" fillId="5" borderId="0" xfId="0" applyFont="1" applyFill="1" applyAlignment="1"/>
  </cellXfs>
  <cellStyles count="8">
    <cellStyle name="Currency" xfId="1" builtinId="4"/>
    <cellStyle name="Currency 2" xfId="4"/>
    <cellStyle name="Currency 3" xfId="6"/>
    <cellStyle name="Normal" xfId="0" builtinId="0"/>
    <cellStyle name="Normal 2" xfId="3"/>
    <cellStyle name="Normal 3" xfId="7"/>
    <cellStyle name="Percent" xfId="2" builtinId="5"/>
    <cellStyle name="Percent 2" xf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 sz="1600" b="0" i="0" u="none" strike="noStrike">
                <a:latin typeface="Calibri"/>
              </a:rPr>
              <a:t>Annual Sales, Gross Margin, Net Profit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AnnualSummary!$A$4</c:f>
              <c:strCache>
                <c:ptCount val="1"/>
                <c:pt idx="0">
                  <c:v>Total Sales</c:v>
                </c:pt>
              </c:strCache>
            </c:strRef>
          </c:tx>
          <c:invertIfNegative val="0"/>
          <c:cat>
            <c:strRef>
              <c:f>AnnualSummary!$B$1:$D$1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AnnualSummary!$B$4:$D$4</c:f>
              <c:numCache>
                <c:formatCode>_("$"* #,##0_);_("$"* \(#,##0\);_("$"* "-"??_);_(@_)</c:formatCode>
                <c:ptCount val="3"/>
                <c:pt idx="0">
                  <c:v>7170223.8227745611</c:v>
                </c:pt>
                <c:pt idx="1">
                  <c:v>11019460.032507669</c:v>
                </c:pt>
                <c:pt idx="2">
                  <c:v>13184972.251558887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01-4E6A-8A28-19C914121209}"/>
            </c:ext>
          </c:extLst>
        </c:ser>
        <c:ser>
          <c:idx val="1"/>
          <c:order val="1"/>
          <c:tx>
            <c:strRef>
              <c:f>AnnualSummary!$A$10</c:f>
              <c:strCache>
                <c:ptCount val="1"/>
                <c:pt idx="0">
                  <c:v>Gross Margin</c:v>
                </c:pt>
              </c:strCache>
            </c:strRef>
          </c:tx>
          <c:invertIfNegative val="0"/>
          <c:val>
            <c:numRef>
              <c:f>AnnualSummary!$B$10:$D$10</c:f>
              <c:numCache>
                <c:formatCode>_("$"* #,##0_);_("$"* \(#,##0\);_("$"* "-"??_);_(@_)</c:formatCode>
                <c:ptCount val="3"/>
                <c:pt idx="0">
                  <c:v>4157055.6036006385</c:v>
                </c:pt>
                <c:pt idx="1">
                  <c:v>6642127.4054441201</c:v>
                </c:pt>
                <c:pt idx="2">
                  <c:v>8017868.9206003929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01-4E6A-8A28-19C914121209}"/>
            </c:ext>
          </c:extLst>
        </c:ser>
        <c:ser>
          <c:idx val="2"/>
          <c:order val="2"/>
          <c:tx>
            <c:strRef>
              <c:f>AnnualSummary!$A$29</c:f>
              <c:strCache>
                <c:ptCount val="1"/>
                <c:pt idx="0">
                  <c:v>Net Profit</c:v>
                </c:pt>
              </c:strCache>
            </c:strRef>
          </c:tx>
          <c:invertIfNegative val="0"/>
          <c:val>
            <c:numRef>
              <c:f>AnnualSummary!$B$29:$D$29</c:f>
              <c:numCache>
                <c:formatCode>_("$"* #,##0_);_("$"* \(#,##0\);_("$"* "-"??_);_(@_)</c:formatCode>
                <c:ptCount val="3"/>
                <c:pt idx="0">
                  <c:v>979779.10926506389</c:v>
                </c:pt>
                <c:pt idx="1">
                  <c:v>2348219.1343204761</c:v>
                </c:pt>
                <c:pt idx="2">
                  <c:v>3155869.9342091652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01-4E6A-8A28-19C914121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39924032"/>
        <c:axId val="-439919728"/>
      </c:barChart>
      <c:catAx>
        <c:axId val="-43992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-439919728"/>
        <c:crosses val="autoZero"/>
        <c:auto val="1"/>
        <c:lblAlgn val="ctr"/>
        <c:lblOffset val="100"/>
        <c:noMultiLvlLbl val="0"/>
      </c:catAx>
      <c:valAx>
        <c:axId val="-4399197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lang="en-US"/>
                  <a:t>$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out"/>
        <c:minorTickMark val="none"/>
        <c:tickLblPos val="low"/>
        <c:spPr>
          <a:ln>
            <a:noFill/>
          </a:ln>
        </c:spPr>
        <c:crossAx val="-439919728"/>
        <c:crosses val="autoZero"/>
        <c:crossBetween val="midCat"/>
      </c:valAx>
    </c:plotArea>
    <c:legend>
      <c:legendPos val="b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 b="0" i="0" u="none" strike="noStrike">
                <a:latin typeface="Calibri"/>
              </a:rPr>
              <a:t>Sources of Funding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tx>
            <c:strRef>
              <c:f>StartupCosts!$A$10</c:f>
              <c:strCache>
                <c:ptCount val="1"/>
                <c:pt idx="0">
                  <c:v>Sources of Funding</c:v>
                </c:pt>
              </c:strCache>
            </c:strRef>
          </c:tx>
          <c:dPt>
            <c:idx val="3"/>
            <c:bubble3D val="0"/>
            <c:spPr>
              <a:solidFill>
                <a:srgbClr val="134561"/>
              </a:solidFill>
            </c:spPr>
            <c:extLst>
              <c:ext xmlns:c16="http://schemas.microsoft.com/office/drawing/2014/chart" uri="{C3380CC4-5D6E-409C-BE32-E72D297353CC}">
                <c16:uniqueId val="{00000001-C094-47E6-8FF9-A87EA91C0534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StartupCosts!$A$11:$A$13</c:f>
              <c:strCache>
                <c:ptCount val="3"/>
                <c:pt idx="0">
                  <c:v>Personal Investment/Personal Savings</c:v>
                </c:pt>
                <c:pt idx="1">
                  <c:v>Outside Investment</c:v>
                </c:pt>
                <c:pt idx="2">
                  <c:v>Loans</c:v>
                </c:pt>
              </c:strCache>
            </c:strRef>
          </c:cat>
          <c:val>
            <c:numRef>
              <c:f>StartupCosts!$B$11:$B$13</c:f>
              <c:numCache>
                <c:formatCode>\$#,##0.00_-;[Red]\(\$#,##0.00\)</c:formatCode>
                <c:ptCount val="3"/>
                <c:pt idx="0">
                  <c:v>50000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94-47E6-8FF9-A87EA91C0534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 b="0" i="0" u="none" strike="noStrike">
                <a:latin typeface="Calibri"/>
              </a:rPr>
              <a:t>Uses of Funding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tx>
            <c:strRef>
              <c:f>StartupCosts!$A$16</c:f>
              <c:strCache>
                <c:ptCount val="1"/>
                <c:pt idx="0">
                  <c:v>Uses of Funding</c:v>
                </c:pt>
              </c:strCache>
            </c:strRef>
          </c:tx>
          <c:dPt>
            <c:idx val="3"/>
            <c:bubble3D val="0"/>
            <c:spPr>
              <a:solidFill>
                <a:srgbClr val="134561"/>
              </a:solidFill>
            </c:spPr>
            <c:extLst>
              <c:ext xmlns:c16="http://schemas.microsoft.com/office/drawing/2014/chart" uri="{C3380CC4-5D6E-409C-BE32-E72D297353CC}">
                <c16:uniqueId val="{00000001-717E-4D7A-9022-805987B6040D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StartupCosts!$A$17:$A$23</c:f>
              <c:strCache>
                <c:ptCount val="7"/>
                <c:pt idx="0">
                  <c:v>Land</c:v>
                </c:pt>
                <c:pt idx="1">
                  <c:v>Building</c:v>
                </c:pt>
                <c:pt idx="2">
                  <c:v>Equipment</c:v>
                </c:pt>
                <c:pt idx="3">
                  <c:v>Furniture</c:v>
                </c:pt>
                <c:pt idx="4">
                  <c:v>Required Starting Cash Balance</c:v>
                </c:pt>
                <c:pt idx="5">
                  <c:v>Starting Inventory</c:v>
                </c:pt>
                <c:pt idx="6">
                  <c:v>Other One Time Startup Costs</c:v>
                </c:pt>
              </c:strCache>
            </c:strRef>
          </c:cat>
          <c:val>
            <c:numRef>
              <c:f>StartupCosts!$B$17:$B$23</c:f>
              <c:numCache>
                <c:formatCode>\$#,##0.00_-;[Red]\(\$#,##0.00\)</c:formatCode>
                <c:ptCount val="7"/>
                <c:pt idx="0">
                  <c:v>290000</c:v>
                </c:pt>
                <c:pt idx="1">
                  <c:v>290000</c:v>
                </c:pt>
                <c:pt idx="2">
                  <c:v>200000</c:v>
                </c:pt>
                <c:pt idx="3">
                  <c:v>10000</c:v>
                </c:pt>
                <c:pt idx="4">
                  <c:v>90000</c:v>
                </c:pt>
                <c:pt idx="5">
                  <c:v>5000</c:v>
                </c:pt>
                <c:pt idx="6">
                  <c:v>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7E-4D7A-9022-805987B6040D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 b="0" i="0" u="none" strike="noStrike">
                <a:latin typeface="Calibri"/>
              </a:rPr>
              <a:t>Break-even Analysis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'Graphs for Dashboard'!$A$101</c:f>
              <c:strCache>
                <c:ptCount val="1"/>
                <c:pt idx="0">
                  <c:v>Net Income</c:v>
                </c:pt>
              </c:strCache>
            </c:strRef>
          </c:tx>
          <c:invertIfNegative val="0"/>
          <c:cat>
            <c:numRef>
              <c:f>'Graphs for Dashboard'!$B$100:$AK$100</c:f>
              <c:numCache>
                <c:formatCode>General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'Graphs for Dashboard'!$B$101:$AK$101</c:f>
              <c:numCache>
                <c:formatCode>General</c:formatCode>
                <c:ptCount val="36"/>
                <c:pt idx="0">
                  <c:v>-89241.286484860917</c:v>
                </c:pt>
                <c:pt idx="1">
                  <c:v>-101116.28648486092</c:v>
                </c:pt>
                <c:pt idx="2">
                  <c:v>-123893.23648486093</c:v>
                </c:pt>
                <c:pt idx="3">
                  <c:v>108601.39152001776</c:v>
                </c:pt>
                <c:pt idx="4">
                  <c:v>114857.32312883291</c:v>
                </c:pt>
                <c:pt idx="5">
                  <c:v>121219.12657170382</c:v>
                </c:pt>
                <c:pt idx="6">
                  <c:v>116873.47859265143</c:v>
                </c:pt>
                <c:pt idx="7">
                  <c:v>123457.22725249972</c:v>
                </c:pt>
                <c:pt idx="8">
                  <c:v>130157.40236669761</c:v>
                </c:pt>
                <c:pt idx="9">
                  <c:v>136977.89327222964</c:v>
                </c:pt>
                <c:pt idx="10">
                  <c:v>143922.79396594065</c:v>
                </c:pt>
                <c:pt idx="11">
                  <c:v>150996.41565931356</c:v>
                </c:pt>
                <c:pt idx="12">
                  <c:v>141097.79981774848</c:v>
                </c:pt>
                <c:pt idx="13">
                  <c:v>145337.02225370985</c:v>
                </c:pt>
                <c:pt idx="14">
                  <c:v>149671.76656815206</c:v>
                </c:pt>
                <c:pt idx="15">
                  <c:v>154105.74745817319</c:v>
                </c:pt>
                <c:pt idx="16">
                  <c:v>158642.87986056408</c:v>
                </c:pt>
                <c:pt idx="17">
                  <c:v>163287.29105419695</c:v>
                </c:pt>
                <c:pt idx="18">
                  <c:v>168043.33352037874</c:v>
                </c:pt>
                <c:pt idx="19">
                  <c:v>172915.598609276</c:v>
                </c:pt>
                <c:pt idx="20">
                  <c:v>177908.93106360862</c:v>
                </c:pt>
                <c:pt idx="21">
                  <c:v>183028.44445407431</c:v>
                </c:pt>
                <c:pt idx="22">
                  <c:v>188279.53758445435</c:v>
                </c:pt>
                <c:pt idx="23">
                  <c:v>193667.91192806792</c:v>
                </c:pt>
                <c:pt idx="24">
                  <c:v>189103.95516256901</c:v>
                </c:pt>
                <c:pt idx="25">
                  <c:v>194785.30086456396</c:v>
                </c:pt>
                <c:pt idx="26">
                  <c:v>200623.03945920162</c:v>
                </c:pt>
                <c:pt idx="27">
                  <c:v>206624.2804759689</c:v>
                </c:pt>
                <c:pt idx="28">
                  <c:v>212796.54121568706</c:v>
                </c:pt>
                <c:pt idx="29">
                  <c:v>219147.77190987731</c:v>
                </c:pt>
                <c:pt idx="30">
                  <c:v>225686.38246916927</c:v>
                </c:pt>
                <c:pt idx="31">
                  <c:v>232421.2709221298</c:v>
                </c:pt>
                <c:pt idx="32">
                  <c:v>239361.85365242016</c:v>
                </c:pt>
                <c:pt idx="33">
                  <c:v>246518.09754911228</c:v>
                </c:pt>
                <c:pt idx="34">
                  <c:v>253900.55419238983</c:v>
                </c:pt>
                <c:pt idx="35">
                  <c:v>261520.39620470139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ED-4693-B884-82C108FA4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39067280"/>
        <c:axId val="-438985568"/>
      </c:barChart>
      <c:catAx>
        <c:axId val="-439067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crossAx val="-438985568"/>
        <c:crosses val="autoZero"/>
        <c:auto val="1"/>
        <c:lblAlgn val="ctr"/>
        <c:lblOffset val="100"/>
        <c:noMultiLvlLbl val="0"/>
      </c:catAx>
      <c:valAx>
        <c:axId val="-4389855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lang="en-US"/>
                  <a:t>$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-4389855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 b="0" i="0" u="none" strike="noStrike">
                <a:latin typeface="Calibri"/>
              </a:rPr>
              <a:t>Projected Cash Flow - Year 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CashFlowStatement_Year1!$A$3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cat>
            <c:numRef>
              <c:f>CashFlowStatement_Year1!$C$5:$N$5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CashFlowStatement_Year1!$C$38:$N$38</c:f>
              <c:numCache>
                <c:formatCode>\$#,##0_-;[Red]\(\$#,##0\)</c:formatCode>
                <c:ptCount val="12"/>
                <c:pt idx="0">
                  <c:v>3245502.7611341868</c:v>
                </c:pt>
                <c:pt idx="1">
                  <c:v>-93234.263615813397</c:v>
                </c:pt>
                <c:pt idx="2">
                  <c:v>-110560.33771483795</c:v>
                </c:pt>
                <c:pt idx="3">
                  <c:v>695863.47992743074</c:v>
                </c:pt>
                <c:pt idx="4">
                  <c:v>445895.33281773969</c:v>
                </c:pt>
                <c:pt idx="5">
                  <c:v>-523577.16578615131</c:v>
                </c:pt>
                <c:pt idx="6">
                  <c:v>461728.98966433934</c:v>
                </c:pt>
                <c:pt idx="7">
                  <c:v>467228.30537704821</c:v>
                </c:pt>
                <c:pt idx="8">
                  <c:v>-501664.39643046272</c:v>
                </c:pt>
                <c:pt idx="9">
                  <c:v>489649.37463387928</c:v>
                </c:pt>
                <c:pt idx="10">
                  <c:v>501176.79713415878</c:v>
                </c:pt>
                <c:pt idx="11">
                  <c:v>-467074.57429046277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06-43E8-8C34-38F44F9C4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39626992"/>
        <c:axId val="-439619952"/>
      </c:barChart>
      <c:catAx>
        <c:axId val="-439626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crossAx val="-439619952"/>
        <c:crosses val="autoZero"/>
        <c:auto val="1"/>
        <c:lblAlgn val="ctr"/>
        <c:lblOffset val="100"/>
        <c:noMultiLvlLbl val="0"/>
      </c:catAx>
      <c:valAx>
        <c:axId val="-4396199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lang="en-US"/>
                  <a:t>$</a:t>
                </a:r>
              </a:p>
            </c:rich>
          </c:tx>
          <c:overlay val="0"/>
        </c:title>
        <c:numFmt formatCode="\$#,##0_-;[Red]\(\$#,##0\)" sourceLinked="1"/>
        <c:majorTickMark val="out"/>
        <c:minorTickMark val="none"/>
        <c:tickLblPos val="low"/>
        <c:spPr>
          <a:ln>
            <a:noFill/>
          </a:ln>
        </c:spPr>
        <c:crossAx val="-4396199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 b="0" i="0" u="none" strike="noStrike">
                <a:latin typeface="Calibri"/>
              </a:rPr>
              <a:t>Projected Cash Flow - Year 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CashFlowStatement_Year2!$A$3</c:f>
              <c:strCache>
                <c:ptCount val="1"/>
                <c:pt idx="0">
                  <c:v>Year 2</c:v>
                </c:pt>
              </c:strCache>
            </c:strRef>
          </c:tx>
          <c:invertIfNegative val="0"/>
          <c:cat>
            <c:numRef>
              <c:f>CashFlowStatement_Year2!$B$5:$M$5</c:f>
              <c:numCache>
                <c:formatCode>General</c:formatCode>
                <c:ptCount val="12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</c:numCache>
            </c:numRef>
          </c:cat>
          <c:val>
            <c:numRef>
              <c:f>CashFlowStatement_Year2!$B$37:$M$37</c:f>
              <c:numCache>
                <c:formatCode>\$#,##0_-;[Red]\(\$#,##0\)</c:formatCode>
                <c:ptCount val="12"/>
                <c:pt idx="0">
                  <c:v>507797.71331375703</c:v>
                </c:pt>
                <c:pt idx="1">
                  <c:v>518460.18073875818</c:v>
                </c:pt>
                <c:pt idx="2">
                  <c:v>-452207.63539942785</c:v>
                </c:pt>
                <c:pt idx="3">
                  <c:v>537331.82871143962</c:v>
                </c:pt>
                <c:pt idx="4">
                  <c:v>-432913.27835976775</c:v>
                </c:pt>
                <c:pt idx="5">
                  <c:v>557065.63033751736</c:v>
                </c:pt>
                <c:pt idx="6">
                  <c:v>567277.60623415629</c:v>
                </c:pt>
                <c:pt idx="7">
                  <c:v>-408500.07612156158</c:v>
                </c:pt>
                <c:pt idx="8">
                  <c:v>588426.98487397179</c:v>
                </c:pt>
                <c:pt idx="9">
                  <c:v>-380602.48340823653</c:v>
                </c:pt>
                <c:pt idx="10">
                  <c:v>610642.54609980679</c:v>
                </c:pt>
                <c:pt idx="11">
                  <c:v>602541.70436872379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1C-4DC6-9783-AECD1D83FE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41596992"/>
        <c:axId val="-439591328"/>
      </c:barChart>
      <c:catAx>
        <c:axId val="-441596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crossAx val="-439591328"/>
        <c:crosses val="autoZero"/>
        <c:auto val="1"/>
        <c:lblAlgn val="ctr"/>
        <c:lblOffset val="100"/>
        <c:noMultiLvlLbl val="0"/>
      </c:catAx>
      <c:valAx>
        <c:axId val="-439591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lang="en-US"/>
                  <a:t>$</a:t>
                </a:r>
              </a:p>
            </c:rich>
          </c:tx>
          <c:overlay val="0"/>
        </c:title>
        <c:numFmt formatCode="\$#,##0_-;[Red]\(\$#,##0\)" sourceLinked="1"/>
        <c:majorTickMark val="out"/>
        <c:minorTickMark val="none"/>
        <c:tickLblPos val="low"/>
        <c:spPr>
          <a:ln>
            <a:noFill/>
          </a:ln>
        </c:spPr>
        <c:crossAx val="-4395913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 b="0" i="0" u="none" strike="noStrike">
                <a:latin typeface="Calibri"/>
              </a:rPr>
              <a:t>Projected Cash Flow - Year 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CashFlowStatement_Year3!$A$3</c:f>
              <c:strCache>
                <c:ptCount val="1"/>
                <c:pt idx="0">
                  <c:v>Year 3</c:v>
                </c:pt>
              </c:strCache>
            </c:strRef>
          </c:tx>
          <c:invertIfNegative val="0"/>
          <c:cat>
            <c:numRef>
              <c:f>CashFlowStatement_Year3!$B$5:$M$5</c:f>
              <c:numCache>
                <c:formatCode>General</c:formatCode>
                <c:ptCount val="12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</c:numCache>
            </c:numRef>
          </c:cat>
          <c:val>
            <c:numRef>
              <c:f>CashFlowStatement_Year3!$B$37:$M$37</c:f>
              <c:numCache>
                <c:formatCode>\$#,##0_-;[Red]\(\$#,##0\)</c:formatCode>
                <c:ptCount val="12"/>
                <c:pt idx="0">
                  <c:v>-356130.86242952291</c:v>
                </c:pt>
                <c:pt idx="1">
                  <c:v>636011.20455515105</c:v>
                </c:pt>
                <c:pt idx="2">
                  <c:v>-337840.91017659276</c:v>
                </c:pt>
                <c:pt idx="3">
                  <c:v>661275.12363521243</c:v>
                </c:pt>
                <c:pt idx="4">
                  <c:v>-305560.15890572104</c:v>
                </c:pt>
                <c:pt idx="5">
                  <c:v>687977.13173038582</c:v>
                </c:pt>
                <c:pt idx="6">
                  <c:v>-278095.64809145243</c:v>
                </c:pt>
                <c:pt idx="7">
                  <c:v>709856.2742376246</c:v>
                </c:pt>
                <c:pt idx="8">
                  <c:v>-249009.74421185674</c:v>
                </c:pt>
                <c:pt idx="9">
                  <c:v>746201.60755755869</c:v>
                </c:pt>
                <c:pt idx="10">
                  <c:v>-238185.80680307606</c:v>
                </c:pt>
                <c:pt idx="11">
                  <c:v>771581.99393242085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77-47CE-A649-A42776000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40675200"/>
        <c:axId val="-440668128"/>
      </c:barChart>
      <c:catAx>
        <c:axId val="-440675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crossAx val="-440668128"/>
        <c:crosses val="autoZero"/>
        <c:auto val="1"/>
        <c:lblAlgn val="ctr"/>
        <c:lblOffset val="100"/>
        <c:noMultiLvlLbl val="0"/>
      </c:catAx>
      <c:valAx>
        <c:axId val="-4406681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lang="en-US"/>
                  <a:t>$</a:t>
                </a:r>
              </a:p>
            </c:rich>
          </c:tx>
          <c:overlay val="0"/>
        </c:title>
        <c:numFmt formatCode="\$#,##0_-;[Red]\(\$#,##0\)" sourceLinked="1"/>
        <c:majorTickMark val="out"/>
        <c:minorTickMark val="none"/>
        <c:tickLblPos val="low"/>
        <c:spPr>
          <a:ln>
            <a:noFill/>
          </a:ln>
        </c:spPr>
        <c:crossAx val="-4406681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 b="0" i="0" u="none" strike="noStrike">
                <a:latin typeface="Calibri"/>
              </a:rPr>
              <a:t>Sales Forecast - Current Year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IncomeStatement_Year1!$A$3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cat>
            <c:numRef>
              <c:f>IncomeStatement_Year1!$B$5:$M$5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IncomeStatement_Year1!$B$8:$M$8</c:f>
              <c:numCache>
                <c:formatCode>\$#,##0_-;[Red]\(\$#,##0\)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756420.07840485335</c:v>
                </c:pt>
                <c:pt idx="4">
                  <c:v>766044.39537458599</c:v>
                </c:pt>
                <c:pt idx="5">
                  <c:v>775849.20411156677</c:v>
                </c:pt>
                <c:pt idx="6">
                  <c:v>785840.58798750117</c:v>
                </c:pt>
                <c:pt idx="7">
                  <c:v>796024.93492217374</c:v>
                </c:pt>
                <c:pt idx="8">
                  <c:v>806408.95501284103</c:v>
                </c:pt>
                <c:pt idx="9">
                  <c:v>816999.69923071284</c:v>
                </c:pt>
                <c:pt idx="10">
                  <c:v>827804.57925013825</c:v>
                </c:pt>
                <c:pt idx="11">
                  <c:v>838831.38848018786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C6-4210-B16A-3050604EA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39875984"/>
        <c:axId val="-439860880"/>
      </c:barChart>
      <c:catAx>
        <c:axId val="-439875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crossAx val="-439860880"/>
        <c:crosses val="autoZero"/>
        <c:auto val="1"/>
        <c:lblAlgn val="ctr"/>
        <c:lblOffset val="100"/>
        <c:noMultiLvlLbl val="0"/>
      </c:catAx>
      <c:valAx>
        <c:axId val="-4398608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lang="en-US"/>
                  <a:t>$</a:t>
                </a:r>
              </a:p>
            </c:rich>
          </c:tx>
          <c:overlay val="0"/>
        </c:title>
        <c:numFmt formatCode="\$#,##0_-;[Red]\(\$#,##0\)" sourceLinked="1"/>
        <c:majorTickMark val="out"/>
        <c:minorTickMark val="none"/>
        <c:tickLblPos val="low"/>
        <c:spPr>
          <a:ln>
            <a:noFill/>
          </a:ln>
        </c:spPr>
        <c:crossAx val="-4398608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 b="0" i="0" u="none" strike="noStrike">
                <a:latin typeface="Calibri"/>
              </a:rPr>
              <a:t>Annual Sales Forecast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AnnualSummary!$A$4</c:f>
              <c:strCache>
                <c:ptCount val="1"/>
                <c:pt idx="0">
                  <c:v>Total Sales</c:v>
                </c:pt>
              </c:strCache>
            </c:strRef>
          </c:tx>
          <c:invertIfNegative val="0"/>
          <c:cat>
            <c:strRef>
              <c:f>AnnualSummary!$B$1:$D$1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AnnualSummary!$B$4:$D$4</c:f>
              <c:numCache>
                <c:formatCode>_("$"* #,##0_);_("$"* \(#,##0\);_("$"* "-"??_);_(@_)</c:formatCode>
                <c:ptCount val="3"/>
                <c:pt idx="0">
                  <c:v>7170223.8227745611</c:v>
                </c:pt>
                <c:pt idx="1">
                  <c:v>11019460.032507669</c:v>
                </c:pt>
                <c:pt idx="2">
                  <c:v>13184972.251558887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31-4725-A34A-DB8320E300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40920048"/>
        <c:axId val="-440916080"/>
      </c:barChart>
      <c:catAx>
        <c:axId val="-440920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-440916080"/>
        <c:crosses val="autoZero"/>
        <c:auto val="1"/>
        <c:lblAlgn val="ctr"/>
        <c:lblOffset val="100"/>
        <c:noMultiLvlLbl val="0"/>
      </c:catAx>
      <c:valAx>
        <c:axId val="-4409160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lang="en-US"/>
                  <a:t>$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out"/>
        <c:minorTickMark val="none"/>
        <c:tickLblPos val="low"/>
        <c:spPr>
          <a:ln>
            <a:noFill/>
          </a:ln>
        </c:spPr>
        <c:crossAx val="-4409160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 b="0" i="0" u="none" strike="noStrike">
                <a:latin typeface="Calibri"/>
              </a:rPr>
              <a:t>Projected Cash Flow - Current Year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CashFlowStatement_Year1!$A$3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cat>
            <c:numRef>
              <c:f>CashFlowStatement_Year1!$C$5:$N$5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CashFlowStatement_Year1!$C$38:$N$38</c:f>
              <c:numCache>
                <c:formatCode>\$#,##0_-;[Red]\(\$#,##0\)</c:formatCode>
                <c:ptCount val="12"/>
                <c:pt idx="0">
                  <c:v>3245502.7611341868</c:v>
                </c:pt>
                <c:pt idx="1">
                  <c:v>-93234.263615813397</c:v>
                </c:pt>
                <c:pt idx="2">
                  <c:v>-110560.33771483795</c:v>
                </c:pt>
                <c:pt idx="3">
                  <c:v>695863.47992743074</c:v>
                </c:pt>
                <c:pt idx="4">
                  <c:v>445895.33281773969</c:v>
                </c:pt>
                <c:pt idx="5">
                  <c:v>-523577.16578615131</c:v>
                </c:pt>
                <c:pt idx="6">
                  <c:v>461728.98966433934</c:v>
                </c:pt>
                <c:pt idx="7">
                  <c:v>467228.30537704821</c:v>
                </c:pt>
                <c:pt idx="8">
                  <c:v>-501664.39643046272</c:v>
                </c:pt>
                <c:pt idx="9">
                  <c:v>489649.37463387928</c:v>
                </c:pt>
                <c:pt idx="10">
                  <c:v>501176.79713415878</c:v>
                </c:pt>
                <c:pt idx="11">
                  <c:v>-467074.57429046277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7-41BE-9BD4-66BFDD683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40871040"/>
        <c:axId val="-440863968"/>
      </c:barChart>
      <c:catAx>
        <c:axId val="-440871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crossAx val="-440863968"/>
        <c:crosses val="autoZero"/>
        <c:auto val="1"/>
        <c:lblAlgn val="ctr"/>
        <c:lblOffset val="100"/>
        <c:noMultiLvlLbl val="0"/>
      </c:catAx>
      <c:valAx>
        <c:axId val="-4408639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lang="en-US"/>
                  <a:t>$</a:t>
                </a:r>
              </a:p>
            </c:rich>
          </c:tx>
          <c:overlay val="0"/>
        </c:title>
        <c:numFmt formatCode="\$#,##0_-;[Red]\(\$#,##0\)" sourceLinked="1"/>
        <c:majorTickMark val="out"/>
        <c:minorTickMark val="none"/>
        <c:tickLblPos val="low"/>
        <c:spPr>
          <a:ln>
            <a:noFill/>
          </a:ln>
        </c:spPr>
        <c:crossAx val="-4408639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 b="0" i="0" u="none" strike="noStrike">
                <a:latin typeface="Calibri"/>
              </a:rPr>
              <a:t>Sales Forecast - Year 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IncomeStatement_Year1!$A$3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cat>
            <c:numRef>
              <c:f>IncomeStatement_Year1!$B$5:$M$5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IncomeStatement_Year1!$B$8:$M$8</c:f>
              <c:numCache>
                <c:formatCode>\$#,##0_-;[Red]\(\$#,##0\)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756420.07840485335</c:v>
                </c:pt>
                <c:pt idx="4">
                  <c:v>766044.39537458599</c:v>
                </c:pt>
                <c:pt idx="5">
                  <c:v>775849.20411156677</c:v>
                </c:pt>
                <c:pt idx="6">
                  <c:v>785840.58798750117</c:v>
                </c:pt>
                <c:pt idx="7">
                  <c:v>796024.93492217374</c:v>
                </c:pt>
                <c:pt idx="8">
                  <c:v>806408.95501284103</c:v>
                </c:pt>
                <c:pt idx="9">
                  <c:v>816999.69923071284</c:v>
                </c:pt>
                <c:pt idx="10">
                  <c:v>827804.57925013825</c:v>
                </c:pt>
                <c:pt idx="11">
                  <c:v>838831.38848018786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FB-44FE-A18E-2644CE055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40795856"/>
        <c:axId val="-440788784"/>
      </c:barChart>
      <c:catAx>
        <c:axId val="-440795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crossAx val="-440788784"/>
        <c:crosses val="autoZero"/>
        <c:auto val="1"/>
        <c:lblAlgn val="ctr"/>
        <c:lblOffset val="100"/>
        <c:noMultiLvlLbl val="0"/>
      </c:catAx>
      <c:valAx>
        <c:axId val="-4407887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lang="en-US"/>
                  <a:t>$</a:t>
                </a:r>
              </a:p>
            </c:rich>
          </c:tx>
          <c:overlay val="0"/>
        </c:title>
        <c:numFmt formatCode="\$#,##0_-;[Red]\(\$#,##0\)" sourceLinked="1"/>
        <c:majorTickMark val="out"/>
        <c:minorTickMark val="none"/>
        <c:tickLblPos val="low"/>
        <c:spPr>
          <a:ln>
            <a:noFill/>
          </a:ln>
        </c:spPr>
        <c:crossAx val="-4407887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 b="0" i="0" u="none" strike="noStrike">
                <a:latin typeface="Calibri"/>
              </a:rPr>
              <a:t>Sales Forecast - Year 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IncomeStatement_Year2!$A$3</c:f>
              <c:strCache>
                <c:ptCount val="1"/>
                <c:pt idx="0">
                  <c:v>Year 2</c:v>
                </c:pt>
              </c:strCache>
            </c:strRef>
          </c:tx>
          <c:invertIfNegative val="0"/>
          <c:cat>
            <c:numRef>
              <c:f>IncomeStatement_Year2!$B$5:$M$5</c:f>
              <c:numCache>
                <c:formatCode>General</c:formatCode>
                <c:ptCount val="12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</c:numCache>
            </c:numRef>
          </c:cat>
          <c:val>
            <c:numRef>
              <c:f>IncomeStatement_Year2!$B$8:$M$8</c:f>
              <c:numCache>
                <c:formatCode>\$#,##0_-;[Red]\(\$#,##0\)</c:formatCode>
                <c:ptCount val="12"/>
                <c:pt idx="0">
                  <c:v>850088.32437264081</c:v>
                </c:pt>
                <c:pt idx="1">
                  <c:v>861584.01208497211</c:v>
                </c:pt>
                <c:pt idx="2">
                  <c:v>873327.52958181791</c:v>
                </c:pt>
                <c:pt idx="3">
                  <c:v>885328.43426357163</c:v>
                </c:pt>
                <c:pt idx="4">
                  <c:v>897596.79121627589</c:v>
                </c:pt>
                <c:pt idx="5">
                  <c:v>910143.20318281383</c:v>
                </c:pt>
                <c:pt idx="6">
                  <c:v>922978.84236162668</c:v>
                </c:pt>
                <c:pt idx="7">
                  <c:v>936115.48414577346</c:v>
                </c:pt>
                <c:pt idx="8">
                  <c:v>949565.54292218061</c:v>
                </c:pt>
                <c:pt idx="9">
                  <c:v>963342.11005836294</c:v>
                </c:pt>
                <c:pt idx="10">
                  <c:v>977458.99421183008</c:v>
                </c:pt>
                <c:pt idx="11">
                  <c:v>991930.7641058024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EF-4F0F-B6F0-F3DFF1D303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40741008"/>
        <c:axId val="-440733936"/>
      </c:barChart>
      <c:catAx>
        <c:axId val="-440741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crossAx val="-440733936"/>
        <c:crosses val="autoZero"/>
        <c:auto val="1"/>
        <c:lblAlgn val="ctr"/>
        <c:lblOffset val="100"/>
        <c:noMultiLvlLbl val="0"/>
      </c:catAx>
      <c:valAx>
        <c:axId val="-4407339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lang="en-US"/>
                  <a:t>$</a:t>
                </a:r>
              </a:p>
            </c:rich>
          </c:tx>
          <c:overlay val="0"/>
        </c:title>
        <c:numFmt formatCode="\$#,##0_-;[Red]\(\$#,##0\)" sourceLinked="1"/>
        <c:majorTickMark val="out"/>
        <c:minorTickMark val="none"/>
        <c:tickLblPos val="low"/>
        <c:spPr>
          <a:ln>
            <a:noFill/>
          </a:ln>
        </c:spPr>
        <c:crossAx val="-4407339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 b="0" i="0" u="none" strike="noStrike">
                <a:latin typeface="Calibri"/>
              </a:rPr>
              <a:t>Sales Forecast - Year 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IncomeStatement_Year3!$A$3</c:f>
              <c:strCache>
                <c:ptCount val="1"/>
                <c:pt idx="0">
                  <c:v>Year 3</c:v>
                </c:pt>
              </c:strCache>
            </c:strRef>
          </c:tx>
          <c:invertIfNegative val="0"/>
          <c:cat>
            <c:numRef>
              <c:f>IncomeStatement_Year3!$B$5:$M$5</c:f>
              <c:numCache>
                <c:formatCode>General</c:formatCode>
                <c:ptCount val="12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</c:numCache>
            </c:numRef>
          </c:cat>
          <c:val>
            <c:numRef>
              <c:f>IncomeStatement_Year3!$B$8:$M$8</c:f>
              <c:numCache>
                <c:formatCode>\$#,##0_-;[Red]\(\$#,##0\)</c:formatCode>
                <c:ptCount val="12"/>
                <c:pt idx="0">
                  <c:v>1006772.7939237964</c:v>
                </c:pt>
                <c:pt idx="1">
                  <c:v>1022001.3114851539</c:v>
                </c:pt>
                <c:pt idx="2">
                  <c:v>1037633.449373667</c:v>
                </c:pt>
                <c:pt idx="3">
                  <c:v>1053687.2992021989</c:v>
                </c:pt>
                <c:pt idx="4">
                  <c:v>1070181.9692075853</c:v>
                </c:pt>
                <c:pt idx="5">
                  <c:v>1087137.6453822213</c:v>
                </c:pt>
                <c:pt idx="6">
                  <c:v>1104575.656361626</c:v>
                </c:pt>
                <c:pt idx="7">
                  <c:v>1122518.5423009391</c:v>
                </c:pt>
                <c:pt idx="8">
                  <c:v>1140990.1279878663</c:v>
                </c:pt>
                <c:pt idx="9">
                  <c:v>1160015.6004550301</c:v>
                </c:pt>
                <c:pt idx="10">
                  <c:v>1179621.5913711197</c:v>
                </c:pt>
                <c:pt idx="11">
                  <c:v>1199836.2645076837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64-416A-B52E-8DFBF1065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39887888"/>
        <c:axId val="-439778592"/>
      </c:barChart>
      <c:catAx>
        <c:axId val="-439887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crossAx val="-439778592"/>
        <c:crosses val="autoZero"/>
        <c:auto val="1"/>
        <c:lblAlgn val="ctr"/>
        <c:lblOffset val="100"/>
        <c:noMultiLvlLbl val="0"/>
      </c:catAx>
      <c:valAx>
        <c:axId val="-4397785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lang="en-US"/>
                  <a:t>$</a:t>
                </a:r>
              </a:p>
            </c:rich>
          </c:tx>
          <c:overlay val="0"/>
        </c:title>
        <c:numFmt formatCode="\$#,##0_-;[Red]\(\$#,##0\)" sourceLinked="1"/>
        <c:majorTickMark val="out"/>
        <c:minorTickMark val="none"/>
        <c:tickLblPos val="low"/>
        <c:spPr>
          <a:ln>
            <a:noFill/>
          </a:ln>
        </c:spPr>
        <c:crossAx val="-4397785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 b="0" i="0" u="none" strike="noStrike">
                <a:latin typeface="Calibri"/>
              </a:rPr>
              <a:t>Annual Sales Forecast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AnnualSummary!$A$4</c:f>
              <c:strCache>
                <c:ptCount val="1"/>
                <c:pt idx="0">
                  <c:v>Total Sales</c:v>
                </c:pt>
              </c:strCache>
            </c:strRef>
          </c:tx>
          <c:invertIfNegative val="0"/>
          <c:cat>
            <c:strRef>
              <c:f>AnnualSummary!$B$1:$D$1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AnnualSummary!$B$4:$D$4</c:f>
              <c:numCache>
                <c:formatCode>_("$"* #,##0_);_("$"* \(#,##0\);_("$"* "-"??_);_(@_)</c:formatCode>
                <c:ptCount val="3"/>
                <c:pt idx="0">
                  <c:v>7170223.8227745611</c:v>
                </c:pt>
                <c:pt idx="1">
                  <c:v>11019460.032507669</c:v>
                </c:pt>
                <c:pt idx="2">
                  <c:v>13184972.251558887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D3-4ABD-ADFE-249D2CD80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39738224"/>
        <c:axId val="-439734272"/>
      </c:barChart>
      <c:catAx>
        <c:axId val="-43973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-439734272"/>
        <c:crosses val="autoZero"/>
        <c:auto val="1"/>
        <c:lblAlgn val="ctr"/>
        <c:lblOffset val="100"/>
        <c:noMultiLvlLbl val="0"/>
      </c:catAx>
      <c:valAx>
        <c:axId val="-4397342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lang="en-US"/>
                  <a:t>$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out"/>
        <c:minorTickMark val="none"/>
        <c:tickLblPos val="low"/>
        <c:spPr>
          <a:ln>
            <a:noFill/>
          </a:ln>
        </c:spPr>
        <c:crossAx val="-4397342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 b="0" i="0" u="none" strike="noStrike">
                <a:latin typeface="Calibri"/>
              </a:rPr>
              <a:t>Annual Sales, Gross Margin, Net Profit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AnnualSummary!$A$4</c:f>
              <c:strCache>
                <c:ptCount val="1"/>
                <c:pt idx="0">
                  <c:v>Total Sales</c:v>
                </c:pt>
              </c:strCache>
            </c:strRef>
          </c:tx>
          <c:invertIfNegative val="0"/>
          <c:cat>
            <c:strRef>
              <c:f>AnnualSummary!$B$1:$D$1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AnnualSummary!$B$4:$D$4</c:f>
              <c:numCache>
                <c:formatCode>_("$"* #,##0_);_("$"* \(#,##0\);_("$"* "-"??_);_(@_)</c:formatCode>
                <c:ptCount val="3"/>
                <c:pt idx="0">
                  <c:v>7170223.8227745611</c:v>
                </c:pt>
                <c:pt idx="1">
                  <c:v>11019460.032507669</c:v>
                </c:pt>
                <c:pt idx="2">
                  <c:v>13184972.251558887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92-4986-8714-1722E17B3132}"/>
            </c:ext>
          </c:extLst>
        </c:ser>
        <c:ser>
          <c:idx val="1"/>
          <c:order val="1"/>
          <c:tx>
            <c:strRef>
              <c:f>AnnualSummary!$A$10</c:f>
              <c:strCache>
                <c:ptCount val="1"/>
                <c:pt idx="0">
                  <c:v>Gross Margin</c:v>
                </c:pt>
              </c:strCache>
            </c:strRef>
          </c:tx>
          <c:invertIfNegative val="0"/>
          <c:val>
            <c:numRef>
              <c:f>AnnualSummary!$B$10:$D$10</c:f>
              <c:numCache>
                <c:formatCode>_("$"* #,##0_);_("$"* \(#,##0\);_("$"* "-"??_);_(@_)</c:formatCode>
                <c:ptCount val="3"/>
                <c:pt idx="0">
                  <c:v>4157055.6036006385</c:v>
                </c:pt>
                <c:pt idx="1">
                  <c:v>6642127.4054441201</c:v>
                </c:pt>
                <c:pt idx="2">
                  <c:v>8017868.9206003929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92-4986-8714-1722E17B3132}"/>
            </c:ext>
          </c:extLst>
        </c:ser>
        <c:ser>
          <c:idx val="2"/>
          <c:order val="2"/>
          <c:tx>
            <c:strRef>
              <c:f>AnnualSummary!$A$29</c:f>
              <c:strCache>
                <c:ptCount val="1"/>
                <c:pt idx="0">
                  <c:v>Net Profit</c:v>
                </c:pt>
              </c:strCache>
            </c:strRef>
          </c:tx>
          <c:invertIfNegative val="0"/>
          <c:val>
            <c:numRef>
              <c:f>AnnualSummary!$B$29:$D$29</c:f>
              <c:numCache>
                <c:formatCode>_("$"* #,##0_);_("$"* \(#,##0\);_("$"* "-"??_);_(@_)</c:formatCode>
                <c:ptCount val="3"/>
                <c:pt idx="0">
                  <c:v>979779.10926506389</c:v>
                </c:pt>
                <c:pt idx="1">
                  <c:v>2348219.1343204761</c:v>
                </c:pt>
                <c:pt idx="2">
                  <c:v>3155869.9342091652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92-4986-8714-1722E17B31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41629696"/>
        <c:axId val="-441625376"/>
      </c:barChart>
      <c:catAx>
        <c:axId val="-44162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-441625376"/>
        <c:crosses val="autoZero"/>
        <c:auto val="1"/>
        <c:lblAlgn val="ctr"/>
        <c:lblOffset val="100"/>
        <c:noMultiLvlLbl val="0"/>
      </c:catAx>
      <c:valAx>
        <c:axId val="-4416253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lang="en-US"/>
                  <a:t>$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out"/>
        <c:minorTickMark val="none"/>
        <c:tickLblPos val="low"/>
        <c:spPr>
          <a:ln>
            <a:noFill/>
          </a:ln>
        </c:spPr>
        <c:crossAx val="-441625376"/>
        <c:crosses val="autoZero"/>
        <c:crossBetween val="midCat"/>
      </c:valAx>
    </c:plotArea>
    <c:legend>
      <c:legendPos val="b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11" Type="http://schemas.openxmlformats.org/officeDocument/2006/relationships/chart" Target="../charts/chart15.xml"/><Relationship Id="rId5" Type="http://schemas.openxmlformats.org/officeDocument/2006/relationships/chart" Target="../charts/chart9.xml"/><Relationship Id="rId10" Type="http://schemas.openxmlformats.org/officeDocument/2006/relationships/chart" Target="../charts/chart14.xml"/><Relationship Id="rId4" Type="http://schemas.openxmlformats.org/officeDocument/2006/relationships/chart" Target="../charts/chart8.xml"/><Relationship Id="rId9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6</xdr:row>
      <xdr:rowOff>180976</xdr:rowOff>
    </xdr:from>
    <xdr:to>
      <xdr:col>11</xdr:col>
      <xdr:colOff>19050</xdr:colOff>
      <xdr:row>14</xdr:row>
      <xdr:rowOff>180975</xdr:rowOff>
    </xdr:to>
    <xdr:pic>
      <xdr:nvPicPr>
        <xdr:cNvPr id="3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38325" y="1524001"/>
          <a:ext cx="4886325" cy="1523999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11</xdr:col>
      <xdr:colOff>95250</xdr:colOff>
      <xdr:row>27</xdr:row>
      <xdr:rowOff>95250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13</xdr:row>
      <xdr:rowOff>0</xdr:rowOff>
    </xdr:from>
    <xdr:to>
      <xdr:col>21</xdr:col>
      <xdr:colOff>95250</xdr:colOff>
      <xdr:row>27</xdr:row>
      <xdr:rowOff>95250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11</xdr:col>
      <xdr:colOff>95250</xdr:colOff>
      <xdr:row>43</xdr:row>
      <xdr:rowOff>95250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29</xdr:row>
      <xdr:rowOff>0</xdr:rowOff>
    </xdr:from>
    <xdr:to>
      <xdr:col>21</xdr:col>
      <xdr:colOff>95250</xdr:colOff>
      <xdr:row>43</xdr:row>
      <xdr:rowOff>95250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95250</xdr:colOff>
      <xdr:row>14</xdr:row>
      <xdr:rowOff>95250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14</xdr:col>
      <xdr:colOff>95250</xdr:colOff>
      <xdr:row>14</xdr:row>
      <xdr:rowOff>95250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0</xdr:row>
      <xdr:rowOff>0</xdr:rowOff>
    </xdr:from>
    <xdr:to>
      <xdr:col>21</xdr:col>
      <xdr:colOff>95250</xdr:colOff>
      <xdr:row>14</xdr:row>
      <xdr:rowOff>95250</xdr:rowOff>
    </xdr:to>
    <xdr:graphicFrame macro="">
      <xdr:nvGraphicFramePr>
        <xdr:cNvPr id="307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95250</xdr:colOff>
      <xdr:row>29</xdr:row>
      <xdr:rowOff>95250</xdr:rowOff>
    </xdr:to>
    <xdr:graphicFrame macro="">
      <xdr:nvGraphicFramePr>
        <xdr:cNvPr id="410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15</xdr:row>
      <xdr:rowOff>0</xdr:rowOff>
    </xdr:from>
    <xdr:to>
      <xdr:col>14</xdr:col>
      <xdr:colOff>95250</xdr:colOff>
      <xdr:row>29</xdr:row>
      <xdr:rowOff>95250</xdr:rowOff>
    </xdr:to>
    <xdr:graphicFrame macro="">
      <xdr:nvGraphicFramePr>
        <xdr:cNvPr id="512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95250</xdr:colOff>
      <xdr:row>44</xdr:row>
      <xdr:rowOff>95250</xdr:rowOff>
    </xdr:to>
    <xdr:graphicFrame macro="">
      <xdr:nvGraphicFramePr>
        <xdr:cNvPr id="615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0</xdr:colOff>
      <xdr:row>30</xdr:row>
      <xdr:rowOff>0</xdr:rowOff>
    </xdr:from>
    <xdr:to>
      <xdr:col>14</xdr:col>
      <xdr:colOff>95250</xdr:colOff>
      <xdr:row>44</xdr:row>
      <xdr:rowOff>95250</xdr:rowOff>
    </xdr:to>
    <xdr:graphicFrame macro="">
      <xdr:nvGraphicFramePr>
        <xdr:cNvPr id="717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14</xdr:col>
      <xdr:colOff>95250</xdr:colOff>
      <xdr:row>59</xdr:row>
      <xdr:rowOff>95250</xdr:rowOff>
    </xdr:to>
    <xdr:graphicFrame macro="">
      <xdr:nvGraphicFramePr>
        <xdr:cNvPr id="820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95250</xdr:colOff>
      <xdr:row>74</xdr:row>
      <xdr:rowOff>95250</xdr:rowOff>
    </xdr:to>
    <xdr:graphicFrame macro="">
      <xdr:nvGraphicFramePr>
        <xdr:cNvPr id="922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60</xdr:row>
      <xdr:rowOff>0</xdr:rowOff>
    </xdr:from>
    <xdr:to>
      <xdr:col>14</xdr:col>
      <xdr:colOff>95250</xdr:colOff>
      <xdr:row>74</xdr:row>
      <xdr:rowOff>95250</xdr:rowOff>
    </xdr:to>
    <xdr:graphicFrame macro="">
      <xdr:nvGraphicFramePr>
        <xdr:cNvPr id="1025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0</xdr:colOff>
      <xdr:row>60</xdr:row>
      <xdr:rowOff>0</xdr:rowOff>
    </xdr:from>
    <xdr:to>
      <xdr:col>21</xdr:col>
      <xdr:colOff>95250</xdr:colOff>
      <xdr:row>74</xdr:row>
      <xdr:rowOff>95250</xdr:rowOff>
    </xdr:to>
    <xdr:graphicFrame macro="">
      <xdr:nvGraphicFramePr>
        <xdr:cNvPr id="1127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173A2"/>
      </a:accent1>
      <a:accent2>
        <a:srgbClr val="ED3E11"/>
      </a:accent2>
      <a:accent3>
        <a:srgbClr val="ACC313"/>
      </a:accent3>
      <a:accent4>
        <a:srgbClr val="134561"/>
      </a:accent4>
      <a:accent5>
        <a:srgbClr val="79ABC7"/>
      </a:accent5>
      <a:accent6>
        <a:srgbClr val="D2E3E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"/>
  <sheetViews>
    <sheetView tabSelected="1" workbookViewId="0">
      <selection activeCell="D20" sqref="D20"/>
    </sheetView>
  </sheetViews>
  <sheetFormatPr defaultRowHeight="15" x14ac:dyDescent="0.25"/>
  <sheetData>
    <row r="2" spans="1:14" ht="21" customHeight="1" x14ac:dyDescent="0.35">
      <c r="A2" s="79" t="s">
        <v>234</v>
      </c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ht="21" customHeight="1" x14ac:dyDescent="0.35">
      <c r="D3" s="80" t="s">
        <v>235</v>
      </c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ht="15" customHeight="1" x14ac:dyDescent="0.25"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14" ht="18.75" customHeight="1" x14ac:dyDescent="0.3">
      <c r="A5" s="77" t="str">
        <f>HYPERLINK("https://projectionhub.com/","Try ProjectionHub for Free at www.projectionhub.com ")</f>
        <v xml:space="preserve">Try ProjectionHub for Free at www.projectionhub.com 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4" x14ac:dyDescent="0.25"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</row>
    <row r="7" spans="1:14" x14ac:dyDescent="0.25"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1:14" x14ac:dyDescent="0.25"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</row>
    <row r="9" spans="1:14" x14ac:dyDescent="0.25"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</row>
    <row r="10" spans="1:14" x14ac:dyDescent="0.25"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</row>
    <row r="11" spans="1:14" x14ac:dyDescent="0.25"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</row>
    <row r="12" spans="1:14" x14ac:dyDescent="0.25"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</row>
    <row r="13" spans="1:14" x14ac:dyDescent="0.25"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</row>
    <row r="14" spans="1:14" x14ac:dyDescent="0.25"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</row>
    <row r="15" spans="1:14" x14ac:dyDescent="0.25"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</row>
    <row r="16" spans="1:14" x14ac:dyDescent="0.25"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</row>
    <row r="17" spans="4:14" x14ac:dyDescent="0.25"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</row>
    <row r="18" spans="4:14" x14ac:dyDescent="0.25"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</row>
    <row r="19" spans="4:14" x14ac:dyDescent="0.25"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</row>
    <row r="20" spans="4:14" x14ac:dyDescent="0.25"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</row>
    <row r="21" spans="4:14" x14ac:dyDescent="0.25"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</row>
  </sheetData>
  <mergeCells count="1">
    <mergeCell ref="A5:N5"/>
  </mergeCells>
  <pageMargins left="0.7" right="0.7" top="0.75" bottom="0.75" header="0.3" footer="0.3"/>
  <pageSetup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opLeftCell="A15" workbookViewId="0">
      <selection activeCell="A30" sqref="A30"/>
    </sheetView>
  </sheetViews>
  <sheetFormatPr defaultColWidth="8.85546875" defaultRowHeight="15" x14ac:dyDescent="0.25"/>
  <cols>
    <col min="1" max="1" width="31.7109375" bestFit="1" customWidth="1"/>
    <col min="2" max="12" width="9.28515625" bestFit="1" customWidth="1"/>
    <col min="13" max="13" width="10.42578125" bestFit="1" customWidth="1"/>
    <col min="14" max="14" width="10.85546875" bestFit="1" customWidth="1"/>
  </cols>
  <sheetData>
    <row r="1" spans="1:14" x14ac:dyDescent="0.25">
      <c r="A1" t="str">
        <f>DATA!B1</f>
        <v>Example Manufacturing Company</v>
      </c>
    </row>
    <row r="2" spans="1:14" x14ac:dyDescent="0.25">
      <c r="A2" t="s">
        <v>63</v>
      </c>
    </row>
    <row r="3" spans="1:14" x14ac:dyDescent="0.25">
      <c r="A3" t="s">
        <v>80</v>
      </c>
    </row>
    <row r="5" spans="1:14" x14ac:dyDescent="0.25">
      <c r="A5" t="s">
        <v>17</v>
      </c>
      <c r="B5">
        <v>13</v>
      </c>
      <c r="C5">
        <v>14</v>
      </c>
      <c r="D5">
        <v>15</v>
      </c>
      <c r="E5">
        <v>16</v>
      </c>
      <c r="F5">
        <v>17</v>
      </c>
      <c r="G5">
        <v>18</v>
      </c>
      <c r="H5">
        <v>19</v>
      </c>
      <c r="I5">
        <v>20</v>
      </c>
      <c r="J5">
        <v>21</v>
      </c>
      <c r="K5">
        <v>22</v>
      </c>
      <c r="L5">
        <v>23</v>
      </c>
      <c r="M5">
        <v>24</v>
      </c>
      <c r="N5" s="4" t="s">
        <v>80</v>
      </c>
    </row>
    <row r="6" spans="1:14" x14ac:dyDescent="0.25">
      <c r="A6" s="4" t="s">
        <v>65</v>
      </c>
    </row>
    <row r="7" spans="1:14" x14ac:dyDescent="0.25">
      <c r="A7" t="str">
        <f>SUBSTITUTE(DATA!A26,"Days to Get Paid","",1)</f>
        <v>Sales</v>
      </c>
      <c r="B7" s="6">
        <f>DATA!N85</f>
        <v>850088.32437264081</v>
      </c>
      <c r="C7" s="6">
        <f>DATA!O85</f>
        <v>861584.01208497211</v>
      </c>
      <c r="D7" s="6">
        <f>DATA!P85</f>
        <v>873327.52958181791</v>
      </c>
      <c r="E7" s="6">
        <f>DATA!Q85</f>
        <v>885328.43426357163</v>
      </c>
      <c r="F7" s="6">
        <f>DATA!R85</f>
        <v>897596.79121627589</v>
      </c>
      <c r="G7" s="6">
        <f>DATA!S85</f>
        <v>910143.20318281383</v>
      </c>
      <c r="H7" s="6">
        <f>DATA!T85</f>
        <v>922978.84236162668</v>
      </c>
      <c r="I7" s="6">
        <f>DATA!U85</f>
        <v>936115.48414577346</v>
      </c>
      <c r="J7" s="6">
        <f>DATA!V85</f>
        <v>949565.54292218061</v>
      </c>
      <c r="K7" s="6">
        <f>DATA!W85</f>
        <v>963342.11005836294</v>
      </c>
      <c r="L7" s="6">
        <f>DATA!X85</f>
        <v>977458.99421183008</v>
      </c>
      <c r="M7" s="6">
        <f>DATA!Y85</f>
        <v>991930.7641058024</v>
      </c>
      <c r="N7" s="7">
        <f>SUM(B7:M7)</f>
        <v>11019460.032507669</v>
      </c>
    </row>
    <row r="8" spans="1:14" x14ac:dyDescent="0.25">
      <c r="A8" s="4" t="s">
        <v>66</v>
      </c>
      <c r="B8" s="9">
        <f t="shared" ref="B8:M8" si="0">SUM(B7:B7)</f>
        <v>850088.32437264081</v>
      </c>
      <c r="C8" s="9">
        <f t="shared" si="0"/>
        <v>861584.01208497211</v>
      </c>
      <c r="D8" s="9">
        <f t="shared" si="0"/>
        <v>873327.52958181791</v>
      </c>
      <c r="E8" s="9">
        <f t="shared" si="0"/>
        <v>885328.43426357163</v>
      </c>
      <c r="F8" s="9">
        <f t="shared" si="0"/>
        <v>897596.79121627589</v>
      </c>
      <c r="G8" s="9">
        <f t="shared" si="0"/>
        <v>910143.20318281383</v>
      </c>
      <c r="H8" s="9">
        <f t="shared" si="0"/>
        <v>922978.84236162668</v>
      </c>
      <c r="I8" s="9">
        <f t="shared" si="0"/>
        <v>936115.48414577346</v>
      </c>
      <c r="J8" s="9">
        <f t="shared" si="0"/>
        <v>949565.54292218061</v>
      </c>
      <c r="K8" s="9">
        <f t="shared" si="0"/>
        <v>963342.11005836294</v>
      </c>
      <c r="L8" s="9">
        <f t="shared" si="0"/>
        <v>977458.99421183008</v>
      </c>
      <c r="M8" s="9">
        <f t="shared" si="0"/>
        <v>991930.7641058024</v>
      </c>
      <c r="N8" s="9">
        <f>SUM(B8:M8)</f>
        <v>11019460.032507669</v>
      </c>
    </row>
    <row r="10" spans="1:14" x14ac:dyDescent="0.25">
      <c r="A10" t="s">
        <v>67</v>
      </c>
      <c r="B10" s="6">
        <f>DATA!N80</f>
        <v>322758.09506230085</v>
      </c>
      <c r="C10" s="6">
        <f>DATA!O80</f>
        <v>326758.77911822341</v>
      </c>
      <c r="D10" s="6">
        <f>DATA!P80</f>
        <v>330842.36753658717</v>
      </c>
      <c r="E10" s="6">
        <f>DATA!Q80</f>
        <v>335012.08471751789</v>
      </c>
      <c r="F10" s="6">
        <f>DATA!R80</f>
        <v>339271.3257388827</v>
      </c>
      <c r="G10" s="6">
        <f>DATA!S80</f>
        <v>343623.66622557031</v>
      </c>
      <c r="H10" s="6">
        <f>DATA!T80</f>
        <v>348072.87280295097</v>
      </c>
      <c r="I10" s="6">
        <f>DATA!U80</f>
        <v>352622.91416934406</v>
      </c>
      <c r="J10" s="6">
        <f>DATA!V80</f>
        <v>357277.97282440506</v>
      </c>
      <c r="K10" s="6">
        <f>DATA!W80</f>
        <v>362042.4574925481</v>
      </c>
      <c r="L10" s="6">
        <f>DATA!X80</f>
        <v>366921.01628286374</v>
      </c>
      <c r="M10" s="6">
        <f>DATA!Y80</f>
        <v>371918.55062946735</v>
      </c>
      <c r="N10" s="7">
        <f>SUM(B10:M10)</f>
        <v>4157122.1026006616</v>
      </c>
    </row>
    <row r="11" spans="1:14" x14ac:dyDescent="0.25">
      <c r="A11" t="s">
        <v>68</v>
      </c>
      <c r="B11" s="6">
        <f>DATA!N81</f>
        <v>17002.057844173571</v>
      </c>
      <c r="C11" s="6">
        <f>DATA!O81</f>
        <v>17229.579019168621</v>
      </c>
      <c r="D11" s="6">
        <f>DATA!P81</f>
        <v>17461.95636192643</v>
      </c>
      <c r="E11" s="6">
        <f>DATA!Q81</f>
        <v>17699.376994342278</v>
      </c>
      <c r="F11" s="6">
        <f>DATA!R81</f>
        <v>17942.037987538602</v>
      </c>
      <c r="G11" s="6">
        <f>DATA!S81</f>
        <v>18190.14694789112</v>
      </c>
      <c r="H11" s="6">
        <f>DATA!T81</f>
        <v>18443.922638601653</v>
      </c>
      <c r="I11" s="6">
        <f>DATA!U81</f>
        <v>18703.59563899551</v>
      </c>
      <c r="J11" s="6">
        <f>DATA!V81</f>
        <v>18969.409043855649</v>
      </c>
      <c r="K11" s="6">
        <f>DATA!W81</f>
        <v>19241.619205247949</v>
      </c>
      <c r="L11" s="6">
        <f>DATA!X81</f>
        <v>19520.496519443361</v>
      </c>
      <c r="M11" s="6">
        <f>DATA!Y81</f>
        <v>19806.326261703114</v>
      </c>
      <c r="N11" s="7">
        <f>SUM(B11:M11)</f>
        <v>220210.52446288784</v>
      </c>
    </row>
    <row r="12" spans="1:14" x14ac:dyDescent="0.25">
      <c r="A12" s="4" t="s">
        <v>69</v>
      </c>
      <c r="B12" s="9">
        <f t="shared" ref="B12:M12" si="1">SUM(B10:B11)</f>
        <v>339760.15290647442</v>
      </c>
      <c r="C12" s="9">
        <f t="shared" si="1"/>
        <v>343988.35813739203</v>
      </c>
      <c r="D12" s="9">
        <f t="shared" si="1"/>
        <v>348304.32389851363</v>
      </c>
      <c r="E12" s="9">
        <f t="shared" si="1"/>
        <v>352711.46171186015</v>
      </c>
      <c r="F12" s="9">
        <f t="shared" si="1"/>
        <v>357213.36372642132</v>
      </c>
      <c r="G12" s="9">
        <f t="shared" si="1"/>
        <v>361813.81317346141</v>
      </c>
      <c r="H12" s="9">
        <f t="shared" si="1"/>
        <v>366516.79544155265</v>
      </c>
      <c r="I12" s="9">
        <f t="shared" si="1"/>
        <v>371326.50980833959</v>
      </c>
      <c r="J12" s="9">
        <f t="shared" si="1"/>
        <v>376247.38186826074</v>
      </c>
      <c r="K12" s="9">
        <f t="shared" si="1"/>
        <v>381284.07669779606</v>
      </c>
      <c r="L12" s="9">
        <f t="shared" si="1"/>
        <v>386441.51280230709</v>
      </c>
      <c r="M12" s="9">
        <f t="shared" si="1"/>
        <v>391724.87689117045</v>
      </c>
      <c r="N12" s="9">
        <f>SUM(B12:M12)</f>
        <v>4377332.6270635491</v>
      </c>
    </row>
    <row r="14" spans="1:14" x14ac:dyDescent="0.25">
      <c r="A14" s="4" t="s">
        <v>70</v>
      </c>
      <c r="B14" s="10">
        <f t="shared" ref="B14:M14" si="2">B8-B12</f>
        <v>510328.17146616639</v>
      </c>
      <c r="C14" s="10">
        <f t="shared" si="2"/>
        <v>517595.65394758008</v>
      </c>
      <c r="D14" s="10">
        <f t="shared" si="2"/>
        <v>525023.20568330423</v>
      </c>
      <c r="E14" s="10">
        <f t="shared" si="2"/>
        <v>532616.97255171149</v>
      </c>
      <c r="F14" s="10">
        <f t="shared" si="2"/>
        <v>540383.42748985463</v>
      </c>
      <c r="G14" s="10">
        <f t="shared" si="2"/>
        <v>548329.39000935247</v>
      </c>
      <c r="H14" s="10">
        <f t="shared" si="2"/>
        <v>556462.04692007403</v>
      </c>
      <c r="I14" s="10">
        <f t="shared" si="2"/>
        <v>564788.97433743393</v>
      </c>
      <c r="J14" s="10">
        <f t="shared" si="2"/>
        <v>573318.16105391993</v>
      </c>
      <c r="K14" s="10">
        <f t="shared" si="2"/>
        <v>582058.03336056694</v>
      </c>
      <c r="L14" s="10">
        <f t="shared" si="2"/>
        <v>591017.48140952294</v>
      </c>
      <c r="M14" s="10">
        <f t="shared" si="2"/>
        <v>600205.88721463201</v>
      </c>
      <c r="N14" s="10">
        <f>SUM(B14:M14)</f>
        <v>6642127.4054441191</v>
      </c>
    </row>
    <row r="15" spans="1:14" x14ac:dyDescent="0.25">
      <c r="A15" t="s">
        <v>71</v>
      </c>
      <c r="B15" s="2">
        <f t="shared" ref="B15:N15" si="3">IF(B8=0,0,B14/B8)</f>
        <v>0.60032370382546418</v>
      </c>
      <c r="C15" s="2">
        <f t="shared" si="3"/>
        <v>0.60074890746293608</v>
      </c>
      <c r="D15" s="2">
        <f t="shared" si="3"/>
        <v>0.60117560468373776</v>
      </c>
      <c r="E15" s="2">
        <f t="shared" si="3"/>
        <v>0.60160382513270294</v>
      </c>
      <c r="F15" s="2">
        <f t="shared" si="3"/>
        <v>0.60203359991696903</v>
      </c>
      <c r="G15" s="2">
        <f t="shared" si="3"/>
        <v>0.60246496165858143</v>
      </c>
      <c r="H15" s="2">
        <f t="shared" si="3"/>
        <v>0.60289794454686974</v>
      </c>
      <c r="I15" s="2">
        <f t="shared" si="3"/>
        <v>0.6033325843902867</v>
      </c>
      <c r="J15" s="2">
        <f t="shared" si="3"/>
        <v>0.60376891866737092</v>
      </c>
      <c r="K15" s="2">
        <f t="shared" si="3"/>
        <v>0.60420698657645477</v>
      </c>
      <c r="L15" s="2">
        <f t="shared" si="3"/>
        <v>0.60464682908369716</v>
      </c>
      <c r="M15" s="2">
        <f t="shared" si="3"/>
        <v>0.60508848896898637</v>
      </c>
      <c r="N15" s="11">
        <f t="shared" si="3"/>
        <v>0.602763419064971</v>
      </c>
    </row>
    <row r="17" spans="1:14" x14ac:dyDescent="0.25">
      <c r="A17" s="4" t="s">
        <v>19</v>
      </c>
    </row>
    <row r="18" spans="1:14" x14ac:dyDescent="0.25">
      <c r="A18" t="str">
        <f>DATA!A43</f>
        <v>Professional, Accounting and Legal</v>
      </c>
      <c r="B18" s="6">
        <f>DATA!N43</f>
        <v>30753.09135304243</v>
      </c>
      <c r="C18" s="6">
        <f>DATA!O43</f>
        <v>31155.440422974028</v>
      </c>
      <c r="D18" s="6">
        <f>DATA!P43</f>
        <v>31566.463535363629</v>
      </c>
      <c r="E18" s="6">
        <f>DATA!Q43</f>
        <v>31986.49519922501</v>
      </c>
      <c r="F18" s="6">
        <f>DATA!R43</f>
        <v>32415.88769256966</v>
      </c>
      <c r="G18" s="6">
        <f>DATA!S43</f>
        <v>32855.012111398486</v>
      </c>
      <c r="H18" s="6">
        <f>DATA!T43</f>
        <v>33304.25948265694</v>
      </c>
      <c r="I18" s="6">
        <f>DATA!U43</f>
        <v>33764.041945102072</v>
      </c>
      <c r="J18" s="6">
        <f>DATA!V43</f>
        <v>34234.794002276321</v>
      </c>
      <c r="K18" s="6">
        <f>DATA!W43</f>
        <v>34716.973852042705</v>
      </c>
      <c r="L18" s="6">
        <f>DATA!X43</f>
        <v>35211.064797414059</v>
      </c>
      <c r="M18" s="6">
        <f>DATA!Y43</f>
        <v>35717.576743703088</v>
      </c>
      <c r="N18" s="7">
        <f t="shared" ref="N18:N32" si="4">SUM(B18:M18)</f>
        <v>397681.10113776842</v>
      </c>
    </row>
    <row r="19" spans="1:14" x14ac:dyDescent="0.25">
      <c r="A19" t="str">
        <f>DATA!A45</f>
        <v>Marketing &amp; Advertising</v>
      </c>
      <c r="B19" s="6">
        <f>DATA!N45</f>
        <v>10936.85272684361</v>
      </c>
      <c r="C19" s="6">
        <f>DATA!O45</f>
        <v>11046.221254112046</v>
      </c>
      <c r="D19" s="6">
        <f>DATA!P45</f>
        <v>11156.683466653167</v>
      </c>
      <c r="E19" s="6">
        <f>DATA!Q45</f>
        <v>11268.250301319698</v>
      </c>
      <c r="F19" s="6">
        <f>DATA!R45</f>
        <v>11380.932804332895</v>
      </c>
      <c r="G19" s="6">
        <f>DATA!S45</f>
        <v>11494.742132376225</v>
      </c>
      <c r="H19" s="6">
        <f>DATA!T45</f>
        <v>11609.689553699987</v>
      </c>
      <c r="I19" s="6">
        <f>DATA!U45</f>
        <v>11725.786449236988</v>
      </c>
      <c r="J19" s="6">
        <f>DATA!V45</f>
        <v>11843.044313729359</v>
      </c>
      <c r="K19" s="6">
        <f>DATA!W45</f>
        <v>11961.474756866652</v>
      </c>
      <c r="L19" s="6">
        <f>DATA!X45</f>
        <v>12081.089504435318</v>
      </c>
      <c r="M19" s="6">
        <f>DATA!Y45</f>
        <v>12201.900399479671</v>
      </c>
      <c r="N19" s="7">
        <f t="shared" si="4"/>
        <v>138706.66766308562</v>
      </c>
    </row>
    <row r="20" spans="1:14" x14ac:dyDescent="0.25">
      <c r="A20" t="str">
        <f>DATA!A46</f>
        <v>Contingency Expense</v>
      </c>
      <c r="B20" s="6">
        <f>DATA!N46</f>
        <v>85008.832437264093</v>
      </c>
      <c r="C20" s="6">
        <f>DATA!O46</f>
        <v>86158.40120849722</v>
      </c>
      <c r="D20" s="6">
        <f>DATA!P46</f>
        <v>87332.752958181794</v>
      </c>
      <c r="E20" s="6">
        <f>DATA!Q46</f>
        <v>88532.843426357169</v>
      </c>
      <c r="F20" s="6">
        <f>DATA!R46</f>
        <v>89759.679121627589</v>
      </c>
      <c r="G20" s="6">
        <f>DATA!S46</f>
        <v>91014.320318281389</v>
      </c>
      <c r="H20" s="6">
        <f>DATA!T46</f>
        <v>92297.884236162674</v>
      </c>
      <c r="I20" s="6">
        <f>DATA!U46</f>
        <v>93611.548414577352</v>
      </c>
      <c r="J20" s="6">
        <f>DATA!V46</f>
        <v>94956.554292218061</v>
      </c>
      <c r="K20" s="6">
        <f>DATA!W46</f>
        <v>96334.211005836303</v>
      </c>
      <c r="L20" s="6">
        <f>DATA!X46</f>
        <v>97745.899421183014</v>
      </c>
      <c r="M20" s="6">
        <f>DATA!Y46</f>
        <v>99193.076410580252</v>
      </c>
      <c r="N20" s="7">
        <f t="shared" si="4"/>
        <v>1101946.003250767</v>
      </c>
    </row>
    <row r="21" spans="1:14" x14ac:dyDescent="0.25">
      <c r="A21" t="str">
        <f>DATA!A48</f>
        <v>Business Insurance</v>
      </c>
      <c r="B21" s="6">
        <f>DATA!N48</f>
        <v>4400.3532974905629</v>
      </c>
      <c r="C21" s="6">
        <f>DATA!O48</f>
        <v>4446.3360483398883</v>
      </c>
      <c r="D21" s="6">
        <f>DATA!P48</f>
        <v>4493.310118327272</v>
      </c>
      <c r="E21" s="6">
        <f>DATA!Q48</f>
        <v>4541.3137370542863</v>
      </c>
      <c r="F21" s="6">
        <f>DATA!R48</f>
        <v>4590.3871648651038</v>
      </c>
      <c r="G21" s="6">
        <f>DATA!S48</f>
        <v>4640.5728127312559</v>
      </c>
      <c r="H21" s="6">
        <f>DATA!T48</f>
        <v>4691.9153694465067</v>
      </c>
      <c r="I21" s="6">
        <f>DATA!U48</f>
        <v>4744.461936583094</v>
      </c>
      <c r="J21" s="6">
        <f>DATA!V48</f>
        <v>4798.2621716887224</v>
      </c>
      <c r="K21" s="6">
        <f>DATA!W48</f>
        <v>4853.368440233452</v>
      </c>
      <c r="L21" s="6">
        <f>DATA!X48</f>
        <v>4909.8359768473201</v>
      </c>
      <c r="M21" s="6">
        <f>DATA!Y48</f>
        <v>4967.7230564232095</v>
      </c>
      <c r="N21" s="7">
        <f t="shared" si="4"/>
        <v>56077.84013003068</v>
      </c>
    </row>
    <row r="22" spans="1:14" x14ac:dyDescent="0.25">
      <c r="A22" t="str">
        <f>DATA!A50</f>
        <v>Maintenance and Repairs</v>
      </c>
      <c r="B22" s="6">
        <f>DATA!N50</f>
        <v>5100.5299462358453</v>
      </c>
      <c r="C22" s="6">
        <f>DATA!O50</f>
        <v>5169.5040725098324</v>
      </c>
      <c r="D22" s="6">
        <f>DATA!P50</f>
        <v>5239.965177490908</v>
      </c>
      <c r="E22" s="6">
        <f>DATA!Q50</f>
        <v>5311.9706055814295</v>
      </c>
      <c r="F22" s="6">
        <f>DATA!R50</f>
        <v>5385.5807472976558</v>
      </c>
      <c r="G22" s="6">
        <f>DATA!S50</f>
        <v>5460.859219096883</v>
      </c>
      <c r="H22" s="6">
        <f>DATA!T50</f>
        <v>5537.8730541697605</v>
      </c>
      <c r="I22" s="6">
        <f>DATA!U50</f>
        <v>5616.6929048746406</v>
      </c>
      <c r="J22" s="6">
        <f>DATA!V50</f>
        <v>5697.3932575330837</v>
      </c>
      <c r="K22" s="6">
        <f>DATA!W50</f>
        <v>5780.0526603501776</v>
      </c>
      <c r="L22" s="6">
        <f>DATA!X50</f>
        <v>5864.7539652709802</v>
      </c>
      <c r="M22" s="6">
        <f>DATA!Y50</f>
        <v>5951.5845846348147</v>
      </c>
      <c r="N22" s="7">
        <f t="shared" si="4"/>
        <v>66116.760195046008</v>
      </c>
    </row>
    <row r="23" spans="1:14" x14ac:dyDescent="0.25">
      <c r="A23" t="str">
        <f>DATA!A52</f>
        <v>Office Supplies</v>
      </c>
      <c r="B23" s="6">
        <f>DATA!N52</f>
        <v>712.88044342308956</v>
      </c>
      <c r="C23" s="6">
        <f>DATA!O52</f>
        <v>734.2668567257823</v>
      </c>
      <c r="D23" s="6">
        <f>DATA!P52</f>
        <v>756.29486242755581</v>
      </c>
      <c r="E23" s="6">
        <f>DATA!Q52</f>
        <v>778.98370830038255</v>
      </c>
      <c r="F23" s="6">
        <f>DATA!R52</f>
        <v>802.353219549394</v>
      </c>
      <c r="G23" s="6">
        <f>DATA!S52</f>
        <v>826.42381613587588</v>
      </c>
      <c r="H23" s="6">
        <f>DATA!T52</f>
        <v>851.21653061995221</v>
      </c>
      <c r="I23" s="6">
        <f>DATA!U52</f>
        <v>876.75302653855078</v>
      </c>
      <c r="J23" s="6">
        <f>DATA!V52</f>
        <v>903.05561733470734</v>
      </c>
      <c r="K23" s="6">
        <f>DATA!W52</f>
        <v>930.14728585474859</v>
      </c>
      <c r="L23" s="6">
        <f>DATA!X52</f>
        <v>958.05170443039106</v>
      </c>
      <c r="M23" s="6">
        <f>DATA!Y52</f>
        <v>986.79325556330286</v>
      </c>
      <c r="N23" s="7">
        <f t="shared" si="4"/>
        <v>10117.220326903733</v>
      </c>
    </row>
    <row r="24" spans="1:14" x14ac:dyDescent="0.25">
      <c r="A24" t="str">
        <f>DATA!A54</f>
        <v>Meals/Gifts/Entertainment</v>
      </c>
      <c r="B24" s="6">
        <f>DATA!N54</f>
        <v>2138.641330269269</v>
      </c>
      <c r="C24" s="6">
        <f>DATA!O54</f>
        <v>2202.8005701773473</v>
      </c>
      <c r="D24" s="6">
        <f>DATA!P54</f>
        <v>2268.8845872826678</v>
      </c>
      <c r="E24" s="6">
        <f>DATA!Q54</f>
        <v>2336.951124901148</v>
      </c>
      <c r="F24" s="6">
        <f>DATA!R54</f>
        <v>2407.0596586481824</v>
      </c>
      <c r="G24" s="6">
        <f>DATA!S54</f>
        <v>2479.2714484076282</v>
      </c>
      <c r="H24" s="6">
        <f>DATA!T54</f>
        <v>2553.6495918598571</v>
      </c>
      <c r="I24" s="6">
        <f>DATA!U54</f>
        <v>2630.2590796156528</v>
      </c>
      <c r="J24" s="6">
        <f>DATA!V54</f>
        <v>2709.1668520041226</v>
      </c>
      <c r="K24" s="6">
        <f>DATA!W54</f>
        <v>2790.4418575642462</v>
      </c>
      <c r="L24" s="6">
        <f>DATA!X54</f>
        <v>2874.1551132911736</v>
      </c>
      <c r="M24" s="6">
        <f>DATA!Y54</f>
        <v>2960.379766689909</v>
      </c>
      <c r="N24" s="7">
        <f t="shared" si="4"/>
        <v>30351.660980711204</v>
      </c>
    </row>
    <row r="25" spans="1:14" x14ac:dyDescent="0.25">
      <c r="A25" t="str">
        <f>DATA!A56</f>
        <v>Research and Development</v>
      </c>
      <c r="B25" s="6">
        <f>DATA!N56</f>
        <v>85008.832437264093</v>
      </c>
      <c r="C25" s="6">
        <f>DATA!O56</f>
        <v>86158.40120849722</v>
      </c>
      <c r="D25" s="6">
        <f>DATA!P56</f>
        <v>87332.752958181794</v>
      </c>
      <c r="E25" s="6">
        <f>DATA!Q56</f>
        <v>88532.843426357169</v>
      </c>
      <c r="F25" s="6">
        <f>DATA!R56</f>
        <v>89759.679121627589</v>
      </c>
      <c r="G25" s="6">
        <f>DATA!S56</f>
        <v>91014.320318281389</v>
      </c>
      <c r="H25" s="6">
        <f>DATA!T56</f>
        <v>92297.884236162674</v>
      </c>
      <c r="I25" s="6">
        <f>DATA!U56</f>
        <v>93611.548414577352</v>
      </c>
      <c r="J25" s="6">
        <f>DATA!V56</f>
        <v>94956.554292218061</v>
      </c>
      <c r="K25" s="6">
        <f>DATA!W56</f>
        <v>96334.211005836303</v>
      </c>
      <c r="L25" s="6">
        <f>DATA!X56</f>
        <v>97745.899421183014</v>
      </c>
      <c r="M25" s="6">
        <f>DATA!Y56</f>
        <v>99193.076410580252</v>
      </c>
      <c r="N25" s="7">
        <f t="shared" si="4"/>
        <v>1101946.003250767</v>
      </c>
    </row>
    <row r="26" spans="1:14" x14ac:dyDescent="0.25">
      <c r="A26" t="str">
        <f>DATA!A58</f>
        <v>Salaries and Wages</v>
      </c>
      <c r="B26" s="6">
        <f>DATA!N58</f>
        <v>112133.33333333334</v>
      </c>
      <c r="C26" s="6">
        <f>DATA!O58</f>
        <v>112133.33333333334</v>
      </c>
      <c r="D26" s="6">
        <f>DATA!P58</f>
        <v>112133.33333333334</v>
      </c>
      <c r="E26" s="6">
        <f>DATA!Q58</f>
        <v>112133.33333333334</v>
      </c>
      <c r="F26" s="6">
        <f>DATA!R58</f>
        <v>112133.33333333334</v>
      </c>
      <c r="G26" s="6">
        <f>DATA!S58</f>
        <v>112133.33333333334</v>
      </c>
      <c r="H26" s="6">
        <f>DATA!T58</f>
        <v>112133.33333333334</v>
      </c>
      <c r="I26" s="6">
        <f>DATA!U58</f>
        <v>112133.33333333334</v>
      </c>
      <c r="J26" s="6">
        <f>DATA!V58</f>
        <v>112133.33333333334</v>
      </c>
      <c r="K26" s="6">
        <f>DATA!W58</f>
        <v>112133.33333333334</v>
      </c>
      <c r="L26" s="6">
        <f>DATA!X58</f>
        <v>112133.33333333334</v>
      </c>
      <c r="M26" s="6">
        <f>DATA!Y58</f>
        <v>112133.33333333334</v>
      </c>
      <c r="N26" s="7">
        <f t="shared" si="4"/>
        <v>1345600</v>
      </c>
    </row>
    <row r="27" spans="1:14" x14ac:dyDescent="0.25">
      <c r="A27" t="str">
        <f>DATA!A59</f>
        <v>Taxes and Licenses</v>
      </c>
      <c r="B27" s="6">
        <f>DATA!N59</f>
        <v>1126.8250301319697</v>
      </c>
      <c r="C27" s="6">
        <f>DATA!O59</f>
        <v>1138.0932804332895</v>
      </c>
      <c r="D27" s="6">
        <f>DATA!P59</f>
        <v>1149.4742132376223</v>
      </c>
      <c r="E27" s="6">
        <f>DATA!Q59</f>
        <v>1160.9689553699984</v>
      </c>
      <c r="F27" s="6">
        <f>DATA!R59</f>
        <v>1172.5786449236984</v>
      </c>
      <c r="G27" s="6">
        <f>DATA!S59</f>
        <v>1184.3044313729354</v>
      </c>
      <c r="H27" s="6">
        <f>DATA!T59</f>
        <v>1196.1474756866646</v>
      </c>
      <c r="I27" s="6">
        <f>DATA!U59</f>
        <v>1208.1089504435313</v>
      </c>
      <c r="J27" s="6">
        <f>DATA!V59</f>
        <v>1220.1900399479666</v>
      </c>
      <c r="K27" s="6">
        <f>DATA!W59</f>
        <v>1232.3919403474463</v>
      </c>
      <c r="L27" s="6">
        <f>DATA!X59</f>
        <v>1244.7158597509208</v>
      </c>
      <c r="M27" s="6">
        <f>DATA!Y59</f>
        <v>1257.1630183484301</v>
      </c>
      <c r="N27" s="7">
        <f t="shared" si="4"/>
        <v>14290.961839994474</v>
      </c>
    </row>
    <row r="28" spans="1:14" x14ac:dyDescent="0.25">
      <c r="A28" t="str">
        <f>DATA!A61</f>
        <v>Telephone &amp; Internet</v>
      </c>
      <c r="B28" s="6">
        <f>DATA!N61</f>
        <v>563.41251506598485</v>
      </c>
      <c r="C28" s="6">
        <f>DATA!O61</f>
        <v>569.04664021664473</v>
      </c>
      <c r="D28" s="6">
        <f>DATA!P61</f>
        <v>574.73710661881114</v>
      </c>
      <c r="E28" s="6">
        <f>DATA!Q61</f>
        <v>580.48447768499921</v>
      </c>
      <c r="F28" s="6">
        <f>DATA!R61</f>
        <v>586.28932246184922</v>
      </c>
      <c r="G28" s="6">
        <f>DATA!S61</f>
        <v>592.15221568646768</v>
      </c>
      <c r="H28" s="6">
        <f>DATA!T61</f>
        <v>598.07373784333231</v>
      </c>
      <c r="I28" s="6">
        <f>DATA!U61</f>
        <v>604.05447522176564</v>
      </c>
      <c r="J28" s="6">
        <f>DATA!V61</f>
        <v>610.09501997398331</v>
      </c>
      <c r="K28" s="6">
        <f>DATA!W61</f>
        <v>616.19597017372314</v>
      </c>
      <c r="L28" s="6">
        <f>DATA!X61</f>
        <v>622.3579298754604</v>
      </c>
      <c r="M28" s="6">
        <f>DATA!Y61</f>
        <v>628.58150917421506</v>
      </c>
      <c r="N28" s="7">
        <f t="shared" si="4"/>
        <v>7145.4809199972369</v>
      </c>
    </row>
    <row r="29" spans="1:14" x14ac:dyDescent="0.25">
      <c r="A29" t="s">
        <v>72</v>
      </c>
      <c r="B29" s="6">
        <f>LoanModule!D21</f>
        <v>0</v>
      </c>
      <c r="C29" s="6">
        <f>LoanModule!D22</f>
        <v>0</v>
      </c>
      <c r="D29" s="6">
        <f>LoanModule!D23</f>
        <v>0</v>
      </c>
      <c r="E29" s="6">
        <f>LoanModule!D24</f>
        <v>0</v>
      </c>
      <c r="F29" s="6">
        <f>LoanModule!D25</f>
        <v>0</v>
      </c>
      <c r="G29" s="6">
        <f>LoanModule!D26</f>
        <v>0</v>
      </c>
      <c r="H29" s="6">
        <f>LoanModule!D27</f>
        <v>0</v>
      </c>
      <c r="I29" s="6">
        <f>LoanModule!D28</f>
        <v>0</v>
      </c>
      <c r="J29" s="6">
        <f>LoanModule!D29</f>
        <v>0</v>
      </c>
      <c r="K29" s="6">
        <f>LoanModule!D30</f>
        <v>0</v>
      </c>
      <c r="L29" s="6">
        <f>LoanModule!D31</f>
        <v>0</v>
      </c>
      <c r="M29" s="6">
        <f>LoanModule!D32</f>
        <v>0</v>
      </c>
      <c r="N29" s="7">
        <f t="shared" si="4"/>
        <v>0</v>
      </c>
    </row>
    <row r="30" spans="1:14" x14ac:dyDescent="0.25">
      <c r="A30" t="s">
        <v>73</v>
      </c>
      <c r="B30" s="6">
        <f>DATA!B74*DATA!N79</f>
        <v>0</v>
      </c>
      <c r="C30" s="6">
        <f>DATA!B74*DATA!O79</f>
        <v>0</v>
      </c>
      <c r="D30" s="6">
        <f>DATA!B74*DATA!P79</f>
        <v>0</v>
      </c>
      <c r="E30" s="6">
        <f>DATA!B74*DATA!Q79</f>
        <v>0</v>
      </c>
      <c r="F30" s="6">
        <f>DATA!B74*DATA!R79</f>
        <v>0</v>
      </c>
      <c r="G30" s="6">
        <f>DATA!B74*DATA!S79</f>
        <v>0</v>
      </c>
      <c r="H30" s="6">
        <f>DATA!B74*DATA!T79</f>
        <v>0</v>
      </c>
      <c r="I30" s="6">
        <f>DATA!B74*DATA!U79</f>
        <v>0</v>
      </c>
      <c r="J30" s="6">
        <f>DATA!B74*DATA!V79</f>
        <v>0</v>
      </c>
      <c r="K30" s="6">
        <f>DATA!B74*DATA!W79</f>
        <v>0</v>
      </c>
      <c r="L30" s="6">
        <f>DATA!B74*DATA!X79</f>
        <v>0</v>
      </c>
      <c r="M30" s="6">
        <f>DATA!B74*DATA!Y79</f>
        <v>0</v>
      </c>
      <c r="N30" s="7">
        <f t="shared" si="4"/>
        <v>0</v>
      </c>
    </row>
    <row r="31" spans="1:14" x14ac:dyDescent="0.25">
      <c r="A31" t="s">
        <v>74</v>
      </c>
      <c r="B31" s="6">
        <f>DATA!N83</f>
        <v>1994.0476190476188</v>
      </c>
      <c r="C31" s="6">
        <f>DATA!O83</f>
        <v>1994.0476190476188</v>
      </c>
      <c r="D31" s="6">
        <f>DATA!P83</f>
        <v>1994.0476190476188</v>
      </c>
      <c r="E31" s="6">
        <f>DATA!Q83</f>
        <v>1994.0476190476188</v>
      </c>
      <c r="F31" s="6">
        <f>DATA!R83</f>
        <v>1994.0476190476188</v>
      </c>
      <c r="G31" s="6">
        <f>DATA!S83</f>
        <v>1994.0476190476188</v>
      </c>
      <c r="H31" s="6">
        <f>DATA!T83</f>
        <v>1994.0476190476188</v>
      </c>
      <c r="I31" s="6">
        <f>DATA!U83</f>
        <v>1994.0476190476188</v>
      </c>
      <c r="J31" s="6">
        <f>DATA!V83</f>
        <v>1994.0476190476188</v>
      </c>
      <c r="K31" s="6">
        <f>DATA!W83</f>
        <v>1994.0476190476188</v>
      </c>
      <c r="L31" s="6">
        <f>DATA!X83</f>
        <v>1994.0476190476188</v>
      </c>
      <c r="M31" s="6">
        <f>DATA!Y83</f>
        <v>1994.0476190476188</v>
      </c>
      <c r="N31" s="7">
        <f t="shared" si="4"/>
        <v>23928.571428571424</v>
      </c>
    </row>
    <row r="32" spans="1:14" x14ac:dyDescent="0.25">
      <c r="A32" s="4" t="s">
        <v>75</v>
      </c>
      <c r="B32" s="8">
        <f t="shared" ref="B32:M32" si="5">SUM(B18:B31)</f>
        <v>339877.63246941194</v>
      </c>
      <c r="C32" s="8">
        <f t="shared" si="5"/>
        <v>342905.89251486427</v>
      </c>
      <c r="D32" s="8">
        <f t="shared" si="5"/>
        <v>345998.69993614621</v>
      </c>
      <c r="E32" s="8">
        <f t="shared" si="5"/>
        <v>349158.48591453233</v>
      </c>
      <c r="F32" s="8">
        <f t="shared" si="5"/>
        <v>352387.80845028459</v>
      </c>
      <c r="G32" s="8">
        <f t="shared" si="5"/>
        <v>355689.35977614956</v>
      </c>
      <c r="H32" s="8">
        <f t="shared" si="5"/>
        <v>359065.97422068933</v>
      </c>
      <c r="I32" s="8">
        <f t="shared" si="5"/>
        <v>362520.63654915197</v>
      </c>
      <c r="J32" s="8">
        <f t="shared" si="5"/>
        <v>366056.49081130535</v>
      </c>
      <c r="K32" s="8">
        <f t="shared" si="5"/>
        <v>369676.84972748667</v>
      </c>
      <c r="L32" s="8">
        <f t="shared" si="5"/>
        <v>373385.20464606263</v>
      </c>
      <c r="M32" s="8">
        <f t="shared" si="5"/>
        <v>377185.23610755813</v>
      </c>
      <c r="N32" s="8">
        <f t="shared" si="4"/>
        <v>4293908.271123643</v>
      </c>
    </row>
    <row r="34" spans="1:14" x14ac:dyDescent="0.25">
      <c r="A34" s="4" t="s">
        <v>76</v>
      </c>
      <c r="B34" s="10">
        <f t="shared" ref="B34:M34" si="6">B14-B32</f>
        <v>170450.53899675445</v>
      </c>
      <c r="C34" s="10">
        <f t="shared" si="6"/>
        <v>174689.76143271581</v>
      </c>
      <c r="D34" s="10">
        <f t="shared" si="6"/>
        <v>179024.50574715802</v>
      </c>
      <c r="E34" s="10">
        <f t="shared" si="6"/>
        <v>183458.48663717916</v>
      </c>
      <c r="F34" s="10">
        <f t="shared" si="6"/>
        <v>187995.61903957004</v>
      </c>
      <c r="G34" s="10">
        <f t="shared" si="6"/>
        <v>192640.03023320291</v>
      </c>
      <c r="H34" s="10">
        <f t="shared" si="6"/>
        <v>197396.07269938471</v>
      </c>
      <c r="I34" s="10">
        <f t="shared" si="6"/>
        <v>202268.33778828196</v>
      </c>
      <c r="J34" s="10">
        <f t="shared" si="6"/>
        <v>207261.67024261458</v>
      </c>
      <c r="K34" s="10">
        <f t="shared" si="6"/>
        <v>212381.18363308028</v>
      </c>
      <c r="L34" s="10">
        <f t="shared" si="6"/>
        <v>217632.27676346031</v>
      </c>
      <c r="M34" s="10">
        <f t="shared" si="6"/>
        <v>223020.65110707388</v>
      </c>
      <c r="N34" s="10">
        <f>SUM(B34:M34)</f>
        <v>2348219.1343204761</v>
      </c>
    </row>
    <row r="36" spans="1:14" x14ac:dyDescent="0.25">
      <c r="A36" t="s">
        <v>77</v>
      </c>
      <c r="B36" s="6">
        <f>N36/12</f>
        <v>29352.739179005948</v>
      </c>
      <c r="C36" s="6">
        <f>N36/12</f>
        <v>29352.739179005948</v>
      </c>
      <c r="D36" s="6">
        <f>N36/12</f>
        <v>29352.739179005948</v>
      </c>
      <c r="E36" s="6">
        <f>N36/12</f>
        <v>29352.739179005948</v>
      </c>
      <c r="F36" s="6">
        <f>N36/12</f>
        <v>29352.739179005948</v>
      </c>
      <c r="G36" s="6">
        <f>N36/12</f>
        <v>29352.739179005948</v>
      </c>
      <c r="H36" s="6">
        <f>N36/12</f>
        <v>29352.739179005948</v>
      </c>
      <c r="I36" s="6">
        <f>N36/12</f>
        <v>29352.739179005948</v>
      </c>
      <c r="J36" s="6">
        <f>N36/12</f>
        <v>29352.739179005948</v>
      </c>
      <c r="K36" s="6">
        <f>N36/12</f>
        <v>29352.739179005948</v>
      </c>
      <c r="L36" s="6">
        <f>N36/12</f>
        <v>29352.739179005948</v>
      </c>
      <c r="M36" s="6">
        <f>N36/12</f>
        <v>29352.739179005948</v>
      </c>
      <c r="N36" s="7">
        <f>IF(N34&lt;=0,0,N34*DATA!B75)</f>
        <v>352232.87014807138</v>
      </c>
    </row>
    <row r="38" spans="1:14" x14ac:dyDescent="0.25">
      <c r="A38" s="4" t="s">
        <v>78</v>
      </c>
      <c r="B38" s="9">
        <f t="shared" ref="B38:M38" si="7">B34-B36</f>
        <v>141097.79981774848</v>
      </c>
      <c r="C38" s="9">
        <f t="shared" si="7"/>
        <v>145337.02225370985</v>
      </c>
      <c r="D38" s="9">
        <f t="shared" si="7"/>
        <v>149671.76656815206</v>
      </c>
      <c r="E38" s="9">
        <f t="shared" si="7"/>
        <v>154105.74745817319</v>
      </c>
      <c r="F38" s="9">
        <f t="shared" si="7"/>
        <v>158642.87986056408</v>
      </c>
      <c r="G38" s="9">
        <f t="shared" si="7"/>
        <v>163287.29105419695</v>
      </c>
      <c r="H38" s="9">
        <f t="shared" si="7"/>
        <v>168043.33352037874</v>
      </c>
      <c r="I38" s="9">
        <f t="shared" si="7"/>
        <v>172915.598609276</v>
      </c>
      <c r="J38" s="9">
        <f t="shared" si="7"/>
        <v>177908.93106360862</v>
      </c>
      <c r="K38" s="9">
        <f t="shared" si="7"/>
        <v>183028.44445407431</v>
      </c>
      <c r="L38" s="9">
        <f t="shared" si="7"/>
        <v>188279.53758445435</v>
      </c>
      <c r="M38" s="9">
        <f t="shared" si="7"/>
        <v>193667.91192806792</v>
      </c>
      <c r="N38" s="9">
        <f>SUM(B38:M38)</f>
        <v>1995986.2641724045</v>
      </c>
    </row>
    <row r="43" spans="1:14" x14ac:dyDescent="0.25">
      <c r="A43" t="s">
        <v>79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opLeftCell="A19" workbookViewId="0">
      <selection activeCell="A29" sqref="A29:XFD29"/>
    </sheetView>
  </sheetViews>
  <sheetFormatPr defaultColWidth="8.85546875" defaultRowHeight="15" x14ac:dyDescent="0.25"/>
  <cols>
    <col min="1" max="1" width="31.7109375" bestFit="1" customWidth="1"/>
    <col min="2" max="12" width="9.28515625" bestFit="1" customWidth="1"/>
    <col min="13" max="13" width="10.42578125" bestFit="1" customWidth="1"/>
    <col min="14" max="14" width="10.85546875" bestFit="1" customWidth="1"/>
  </cols>
  <sheetData>
    <row r="1" spans="1:14" x14ac:dyDescent="0.25">
      <c r="A1" t="str">
        <f>DATA!B1</f>
        <v>Example Manufacturing Company</v>
      </c>
    </row>
    <row r="2" spans="1:14" x14ac:dyDescent="0.25">
      <c r="A2" t="s">
        <v>63</v>
      </c>
    </row>
    <row r="3" spans="1:14" x14ac:dyDescent="0.25">
      <c r="A3" t="s">
        <v>81</v>
      </c>
    </row>
    <row r="5" spans="1:14" x14ac:dyDescent="0.25">
      <c r="A5" t="s">
        <v>17</v>
      </c>
      <c r="B5">
        <v>25</v>
      </c>
      <c r="C5">
        <v>26</v>
      </c>
      <c r="D5">
        <v>27</v>
      </c>
      <c r="E5">
        <v>28</v>
      </c>
      <c r="F5">
        <v>29</v>
      </c>
      <c r="G5">
        <v>30</v>
      </c>
      <c r="H5">
        <v>31</v>
      </c>
      <c r="I5">
        <v>32</v>
      </c>
      <c r="J5">
        <v>33</v>
      </c>
      <c r="K5">
        <v>34</v>
      </c>
      <c r="L5">
        <v>35</v>
      </c>
      <c r="M5">
        <v>36</v>
      </c>
      <c r="N5" s="4" t="s">
        <v>81</v>
      </c>
    </row>
    <row r="6" spans="1:14" x14ac:dyDescent="0.25">
      <c r="A6" s="4" t="s">
        <v>65</v>
      </c>
    </row>
    <row r="7" spans="1:14" x14ac:dyDescent="0.25">
      <c r="A7" t="str">
        <f>SUBSTITUTE(DATA!A26,"Days to Get Paid","",1)</f>
        <v>Sales</v>
      </c>
      <c r="B7" s="6">
        <f>DATA!Z85</f>
        <v>1006772.7939237964</v>
      </c>
      <c r="C7" s="6">
        <f>DATA!AA85</f>
        <v>1022001.3114851539</v>
      </c>
      <c r="D7" s="6">
        <f>DATA!AB85</f>
        <v>1037633.449373667</v>
      </c>
      <c r="E7" s="6">
        <f>DATA!AC85</f>
        <v>1053687.2992021989</v>
      </c>
      <c r="F7" s="6">
        <f>DATA!AD85</f>
        <v>1070181.9692075853</v>
      </c>
      <c r="G7" s="6">
        <f>DATA!AE85</f>
        <v>1087137.6453822213</v>
      </c>
      <c r="H7" s="6">
        <f>DATA!AF85</f>
        <v>1104575.656361626</v>
      </c>
      <c r="I7" s="6">
        <f>DATA!AG85</f>
        <v>1122518.5423009391</v>
      </c>
      <c r="J7" s="6">
        <f>DATA!AH85</f>
        <v>1140990.1279878663</v>
      </c>
      <c r="K7" s="6">
        <f>DATA!AI85</f>
        <v>1160015.6004550301</v>
      </c>
      <c r="L7" s="6">
        <f>DATA!AJ85</f>
        <v>1179621.5913711197</v>
      </c>
      <c r="M7" s="6">
        <f>DATA!AK85</f>
        <v>1199836.2645076837</v>
      </c>
      <c r="N7" s="7">
        <f>SUM(B7:M7)</f>
        <v>13184972.251558887</v>
      </c>
    </row>
    <row r="8" spans="1:14" x14ac:dyDescent="0.25">
      <c r="A8" s="4" t="s">
        <v>66</v>
      </c>
      <c r="B8" s="9">
        <f t="shared" ref="B8:M8" si="0">SUM(B7:B7)</f>
        <v>1006772.7939237964</v>
      </c>
      <c r="C8" s="9">
        <f t="shared" si="0"/>
        <v>1022001.3114851539</v>
      </c>
      <c r="D8" s="9">
        <f t="shared" si="0"/>
        <v>1037633.449373667</v>
      </c>
      <c r="E8" s="9">
        <f t="shared" si="0"/>
        <v>1053687.2992021989</v>
      </c>
      <c r="F8" s="9">
        <f t="shared" si="0"/>
        <v>1070181.9692075853</v>
      </c>
      <c r="G8" s="9">
        <f t="shared" si="0"/>
        <v>1087137.6453822213</v>
      </c>
      <c r="H8" s="9">
        <f t="shared" si="0"/>
        <v>1104575.656361626</v>
      </c>
      <c r="I8" s="9">
        <f t="shared" si="0"/>
        <v>1122518.5423009391</v>
      </c>
      <c r="J8" s="9">
        <f t="shared" si="0"/>
        <v>1140990.1279878663</v>
      </c>
      <c r="K8" s="9">
        <f t="shared" si="0"/>
        <v>1160015.6004550301</v>
      </c>
      <c r="L8" s="9">
        <f t="shared" si="0"/>
        <v>1179621.5913711197</v>
      </c>
      <c r="M8" s="9">
        <f t="shared" si="0"/>
        <v>1199836.2645076837</v>
      </c>
      <c r="N8" s="9">
        <f>SUM(B8:M8)</f>
        <v>13184972.251558887</v>
      </c>
    </row>
    <row r="10" spans="1:14" x14ac:dyDescent="0.25">
      <c r="A10" t="s">
        <v>67</v>
      </c>
      <c r="B10" s="6">
        <f>DATA!Z80</f>
        <v>377040.2300588449</v>
      </c>
      <c r="C10" s="6">
        <f>DATA!AA80</f>
        <v>382291.507833549</v>
      </c>
      <c r="D10" s="6">
        <f>DATA!AB80</f>
        <v>387678.13752454706</v>
      </c>
      <c r="E10" s="6">
        <f>DATA!AC80</f>
        <v>393206.1905676598</v>
      </c>
      <c r="F10" s="6">
        <f>DATA!AD80</f>
        <v>398882.07486283954</v>
      </c>
      <c r="G10" s="6">
        <f>DATA!AE80</f>
        <v>404712.55447855731</v>
      </c>
      <c r="H10" s="6">
        <f>DATA!AF80</f>
        <v>410704.77052729658</v>
      </c>
      <c r="I10" s="6">
        <f>DATA!AG80</f>
        <v>416866.26328209869</v>
      </c>
      <c r="J10" s="6">
        <f>DATA!AH80</f>
        <v>423204.99560829473</v>
      </c>
      <c r="K10" s="6">
        <f>DATA!AI80</f>
        <v>429729.37778899941</v>
      </c>
      <c r="L10" s="6">
        <f>DATA!AJ80</f>
        <v>436448.29382764269</v>
      </c>
      <c r="M10" s="6">
        <f>DATA!AK80</f>
        <v>443371.12931580923</v>
      </c>
      <c r="N10" s="7">
        <f>SUM(B10:M10)</f>
        <v>4904135.5256761396</v>
      </c>
    </row>
    <row r="11" spans="1:14" x14ac:dyDescent="0.25">
      <c r="A11" t="s">
        <v>68</v>
      </c>
      <c r="B11" s="6">
        <f>DATA!Z81</f>
        <v>20099.40947186367</v>
      </c>
      <c r="C11" s="6">
        <f>DATA!AA81</f>
        <v>20400.063893839171</v>
      </c>
      <c r="D11" s="6">
        <f>DATA!AB81</f>
        <v>20708.62497235131</v>
      </c>
      <c r="E11" s="6">
        <f>DATA!AC81</f>
        <v>21025.446910400693</v>
      </c>
      <c r="F11" s="6">
        <f>DATA!AD81</f>
        <v>21350.903791210483</v>
      </c>
      <c r="G11" s="6">
        <f>DATA!AE81</f>
        <v>21685.390768603273</v>
      </c>
      <c r="H11" s="6">
        <f>DATA!AF81</f>
        <v>22029.325330016654</v>
      </c>
      <c r="I11" s="6">
        <f>DATA!AG81</f>
        <v>22383.148636622333</v>
      </c>
      <c r="J11" s="6">
        <f>DATA!AH81</f>
        <v>22747.326945289449</v>
      </c>
      <c r="K11" s="6">
        <f>DATA!AI81</f>
        <v>23122.353117425348</v>
      </c>
      <c r="L11" s="6">
        <f>DATA!AJ81</f>
        <v>23508.748220037945</v>
      </c>
      <c r="M11" s="6">
        <f>DATA!AK81</f>
        <v>23907.063224693979</v>
      </c>
      <c r="N11" s="7">
        <f>SUM(B11:M11)</f>
        <v>262967.8052823543</v>
      </c>
    </row>
    <row r="12" spans="1:14" x14ac:dyDescent="0.25">
      <c r="A12" s="4" t="s">
        <v>69</v>
      </c>
      <c r="B12" s="9">
        <f t="shared" ref="B12:M12" si="1">SUM(B10:B11)</f>
        <v>397139.63953070855</v>
      </c>
      <c r="C12" s="9">
        <f t="shared" si="1"/>
        <v>402691.57172738819</v>
      </c>
      <c r="D12" s="9">
        <f t="shared" si="1"/>
        <v>408386.76249689836</v>
      </c>
      <c r="E12" s="9">
        <f t="shared" si="1"/>
        <v>414231.6374780605</v>
      </c>
      <c r="F12" s="9">
        <f t="shared" si="1"/>
        <v>420232.97865405004</v>
      </c>
      <c r="G12" s="9">
        <f t="shared" si="1"/>
        <v>426397.94524716056</v>
      </c>
      <c r="H12" s="9">
        <f t="shared" si="1"/>
        <v>432734.09585731325</v>
      </c>
      <c r="I12" s="9">
        <f t="shared" si="1"/>
        <v>439249.41191872105</v>
      </c>
      <c r="J12" s="9">
        <f t="shared" si="1"/>
        <v>445952.32255358418</v>
      </c>
      <c r="K12" s="9">
        <f t="shared" si="1"/>
        <v>452851.73090642475</v>
      </c>
      <c r="L12" s="9">
        <f t="shared" si="1"/>
        <v>459957.04204768065</v>
      </c>
      <c r="M12" s="9">
        <f t="shared" si="1"/>
        <v>467278.19254050322</v>
      </c>
      <c r="N12" s="9">
        <f>SUM(B12:M12)</f>
        <v>5167103.3309584931</v>
      </c>
    </row>
    <row r="14" spans="1:14" x14ac:dyDescent="0.25">
      <c r="A14" s="4" t="s">
        <v>70</v>
      </c>
      <c r="B14" s="10">
        <f t="shared" ref="B14:M14" si="2">B8-B12</f>
        <v>609633.15439308784</v>
      </c>
      <c r="C14" s="10">
        <f t="shared" si="2"/>
        <v>619309.73975776567</v>
      </c>
      <c r="D14" s="10">
        <f t="shared" si="2"/>
        <v>629246.68687676871</v>
      </c>
      <c r="E14" s="10">
        <f t="shared" si="2"/>
        <v>639455.66172413831</v>
      </c>
      <c r="F14" s="10">
        <f t="shared" si="2"/>
        <v>649948.99055353529</v>
      </c>
      <c r="G14" s="10">
        <f t="shared" si="2"/>
        <v>660739.70013506082</v>
      </c>
      <c r="H14" s="10">
        <f t="shared" si="2"/>
        <v>671841.56050431274</v>
      </c>
      <c r="I14" s="10">
        <f t="shared" si="2"/>
        <v>683269.13038221805</v>
      </c>
      <c r="J14" s="10">
        <f t="shared" si="2"/>
        <v>695037.80543428217</v>
      </c>
      <c r="K14" s="10">
        <f t="shared" si="2"/>
        <v>707163.86954860529</v>
      </c>
      <c r="L14" s="10">
        <f t="shared" si="2"/>
        <v>719664.54932343913</v>
      </c>
      <c r="M14" s="10">
        <f t="shared" si="2"/>
        <v>732558.07196718047</v>
      </c>
      <c r="N14" s="10">
        <f>SUM(B14:M14)</f>
        <v>8017868.9206003956</v>
      </c>
    </row>
    <row r="15" spans="1:14" x14ac:dyDescent="0.25">
      <c r="A15" t="s">
        <v>71</v>
      </c>
      <c r="B15" s="2">
        <f t="shared" ref="B15:N15" si="3">IF(B8=0,0,B14/B8)</f>
        <v>0.6055320108692086</v>
      </c>
      <c r="C15" s="2">
        <f t="shared" si="3"/>
        <v>0.60597744131834419</v>
      </c>
      <c r="D15" s="2">
        <f t="shared" si="3"/>
        <v>0.60642482878379889</v>
      </c>
      <c r="E15" s="2">
        <f t="shared" si="3"/>
        <v>0.60687422369834321</v>
      </c>
      <c r="F15" s="2">
        <f t="shared" si="3"/>
        <v>0.60732567848698582</v>
      </c>
      <c r="G15" s="2">
        <f t="shared" si="3"/>
        <v>0.60777924758805923</v>
      </c>
      <c r="H15" s="2">
        <f t="shared" si="3"/>
        <v>0.60823498746776583</v>
      </c>
      <c r="I15" s="2">
        <f t="shared" si="3"/>
        <v>0.60869295662738243</v>
      </c>
      <c r="J15" s="2">
        <f t="shared" si="3"/>
        <v>0.60915321560229441</v>
      </c>
      <c r="K15" s="2">
        <f t="shared" si="3"/>
        <v>0.60961582695199246</v>
      </c>
      <c r="L15" s="2">
        <f t="shared" si="3"/>
        <v>0.61008085524014977</v>
      </c>
      <c r="M15" s="2">
        <f t="shared" si="3"/>
        <v>0.61054836700386228</v>
      </c>
      <c r="N15" s="11">
        <f t="shared" si="3"/>
        <v>0.60810662075169908</v>
      </c>
    </row>
    <row r="17" spans="1:14" x14ac:dyDescent="0.25">
      <c r="A17" s="4" t="s">
        <v>19</v>
      </c>
    </row>
    <row r="18" spans="1:14" x14ac:dyDescent="0.25">
      <c r="A18" t="str">
        <f>DATA!A43</f>
        <v>Professional, Accounting and Legal</v>
      </c>
      <c r="B18" s="6">
        <f>DATA!Z43</f>
        <v>36237.047787332878</v>
      </c>
      <c r="C18" s="6">
        <f>DATA!AA43</f>
        <v>36770.045901980389</v>
      </c>
      <c r="D18" s="6">
        <f>DATA!AB43</f>
        <v>37317.170728078352</v>
      </c>
      <c r="E18" s="6">
        <f>DATA!AC43</f>
        <v>37879.055472076965</v>
      </c>
      <c r="F18" s="6">
        <f>DATA!AD43</f>
        <v>38456.368922265487</v>
      </c>
      <c r="G18" s="6">
        <f>DATA!AE43</f>
        <v>39049.817588377751</v>
      </c>
      <c r="H18" s="6">
        <f>DATA!AF43</f>
        <v>39660.147972656916</v>
      </c>
      <c r="I18" s="6">
        <f>DATA!AG43</f>
        <v>40288.148980532875</v>
      </c>
      <c r="J18" s="6">
        <f>DATA!AH43</f>
        <v>40934.654479575322</v>
      </c>
      <c r="K18" s="6">
        <f>DATA!AI43</f>
        <v>41600.546015926055</v>
      </c>
      <c r="L18" s="6">
        <f>DATA!AJ43</f>
        <v>42286.755697989196</v>
      </c>
      <c r="M18" s="6">
        <f>DATA!AK43</f>
        <v>42994.26925776893</v>
      </c>
      <c r="N18" s="7">
        <f t="shared" ref="N18:N32" si="4">SUM(B18:M18)</f>
        <v>473474.02880456112</v>
      </c>
    </row>
    <row r="19" spans="1:14" x14ac:dyDescent="0.25">
      <c r="A19" t="str">
        <f>DATA!A45</f>
        <v>Marketing &amp; Advertising</v>
      </c>
      <c r="B19" s="6">
        <f>DATA!Z45</f>
        <v>12323.919403474469</v>
      </c>
      <c r="C19" s="6">
        <f>DATA!AA45</f>
        <v>12447.158597509213</v>
      </c>
      <c r="D19" s="6">
        <f>DATA!AB45</f>
        <v>12571.630183484305</v>
      </c>
      <c r="E19" s="6">
        <f>DATA!AC45</f>
        <v>12697.346485319149</v>
      </c>
      <c r="F19" s="6">
        <f>DATA!AD45</f>
        <v>12824.319950172341</v>
      </c>
      <c r="G19" s="6">
        <f>DATA!AE45</f>
        <v>12952.563149674064</v>
      </c>
      <c r="H19" s="6">
        <f>DATA!AF45</f>
        <v>13082.088781170805</v>
      </c>
      <c r="I19" s="6">
        <f>DATA!AG45</f>
        <v>13212.909668982513</v>
      </c>
      <c r="J19" s="6">
        <f>DATA!AH45</f>
        <v>13345.038765672338</v>
      </c>
      <c r="K19" s="6">
        <f>DATA!AI45</f>
        <v>13478.489153329061</v>
      </c>
      <c r="L19" s="6">
        <f>DATA!AJ45</f>
        <v>13613.274044862352</v>
      </c>
      <c r="M19" s="6">
        <f>DATA!AK45</f>
        <v>13749.406785310975</v>
      </c>
      <c r="N19" s="7">
        <f t="shared" si="4"/>
        <v>156298.14496896157</v>
      </c>
    </row>
    <row r="20" spans="1:14" x14ac:dyDescent="0.25">
      <c r="A20" t="str">
        <f>DATA!A46</f>
        <v>Contingency Expense</v>
      </c>
      <c r="B20" s="6">
        <f>DATA!Z46</f>
        <v>100677.27939237964</v>
      </c>
      <c r="C20" s="6">
        <f>DATA!AA46</f>
        <v>102200.13114851539</v>
      </c>
      <c r="D20" s="6">
        <f>DATA!AB46</f>
        <v>103763.34493736671</v>
      </c>
      <c r="E20" s="6">
        <f>DATA!AC46</f>
        <v>105368.72992021989</v>
      </c>
      <c r="F20" s="6">
        <f>DATA!AD46</f>
        <v>107018.19692075854</v>
      </c>
      <c r="G20" s="6">
        <f>DATA!AE46</f>
        <v>108713.76453822214</v>
      </c>
      <c r="H20" s="6">
        <f>DATA!AF46</f>
        <v>110457.5656361626</v>
      </c>
      <c r="I20" s="6">
        <f>DATA!AG46</f>
        <v>112251.85423009392</v>
      </c>
      <c r="J20" s="6">
        <f>DATA!AH46</f>
        <v>114099.01279878663</v>
      </c>
      <c r="K20" s="6">
        <f>DATA!AI46</f>
        <v>116001.56004550302</v>
      </c>
      <c r="L20" s="6">
        <f>DATA!AJ46</f>
        <v>117962.15913711197</v>
      </c>
      <c r="M20" s="6">
        <f>DATA!AK46</f>
        <v>119983.62645076838</v>
      </c>
      <c r="N20" s="7">
        <f t="shared" si="4"/>
        <v>1318497.2251558888</v>
      </c>
    </row>
    <row r="21" spans="1:14" x14ac:dyDescent="0.25">
      <c r="A21" t="str">
        <f>DATA!A48</f>
        <v>Business Insurance</v>
      </c>
      <c r="B21" s="6">
        <f>DATA!Z48</f>
        <v>5027.0911756951855</v>
      </c>
      <c r="C21" s="6">
        <f>DATA!AA48</f>
        <v>5088.0052459406161</v>
      </c>
      <c r="D21" s="6">
        <f>DATA!AB48</f>
        <v>5150.5337974946679</v>
      </c>
      <c r="E21" s="6">
        <f>DATA!AC48</f>
        <v>5214.7491968087952</v>
      </c>
      <c r="F21" s="6">
        <f>DATA!AD48</f>
        <v>5280.7278768303413</v>
      </c>
      <c r="G21" s="6">
        <f>DATA!AE48</f>
        <v>5348.5505815288852</v>
      </c>
      <c r="H21" s="6">
        <f>DATA!AF48</f>
        <v>5418.302625446504</v>
      </c>
      <c r="I21" s="6">
        <f>DATA!AG48</f>
        <v>5490.0741692037564</v>
      </c>
      <c r="J21" s="6">
        <f>DATA!AH48</f>
        <v>5563.9605119514654</v>
      </c>
      <c r="K21" s="6">
        <f>DATA!AI48</f>
        <v>5640.0624018201206</v>
      </c>
      <c r="L21" s="6">
        <f>DATA!AJ48</f>
        <v>5718.4863654844794</v>
      </c>
      <c r="M21" s="6">
        <f>DATA!AK48</f>
        <v>5799.3450580307344</v>
      </c>
      <c r="N21" s="7">
        <f t="shared" si="4"/>
        <v>64739.889006235549</v>
      </c>
    </row>
    <row r="22" spans="1:14" x14ac:dyDescent="0.25">
      <c r="A22" t="str">
        <f>DATA!A50</f>
        <v>Maintenance and Repairs</v>
      </c>
      <c r="B22" s="6">
        <f>DATA!Z50</f>
        <v>6040.6367635427787</v>
      </c>
      <c r="C22" s="6">
        <f>DATA!AA50</f>
        <v>6132.0078689109232</v>
      </c>
      <c r="D22" s="6">
        <f>DATA!AB50</f>
        <v>6225.8006962420022</v>
      </c>
      <c r="E22" s="6">
        <f>DATA!AC50</f>
        <v>6322.1237952131933</v>
      </c>
      <c r="F22" s="6">
        <f>DATA!AD50</f>
        <v>6421.0918152455124</v>
      </c>
      <c r="G22" s="6">
        <f>DATA!AE50</f>
        <v>6522.8258722933278</v>
      </c>
      <c r="H22" s="6">
        <f>DATA!AF50</f>
        <v>6627.4539381697559</v>
      </c>
      <c r="I22" s="6">
        <f>DATA!AG50</f>
        <v>6735.111253805635</v>
      </c>
      <c r="J22" s="6">
        <f>DATA!AH50</f>
        <v>6845.9407679271981</v>
      </c>
      <c r="K22" s="6">
        <f>DATA!AI50</f>
        <v>6960.0936027301805</v>
      </c>
      <c r="L22" s="6">
        <f>DATA!AJ50</f>
        <v>7077.7295482267182</v>
      </c>
      <c r="M22" s="6">
        <f>DATA!AK50</f>
        <v>7199.0175870461026</v>
      </c>
      <c r="N22" s="7">
        <f t="shared" si="4"/>
        <v>79109.833509353339</v>
      </c>
    </row>
    <row r="23" spans="1:14" x14ac:dyDescent="0.25">
      <c r="A23" t="str">
        <f>DATA!A52</f>
        <v>Office Supplies</v>
      </c>
      <c r="B23" s="6">
        <f>DATA!Z52</f>
        <v>1016.397053230202</v>
      </c>
      <c r="C23" s="6">
        <f>DATA!AA52</f>
        <v>1046.8889648271081</v>
      </c>
      <c r="D23" s="6">
        <f>DATA!AB52</f>
        <v>1078.2956337719213</v>
      </c>
      <c r="E23" s="6">
        <f>DATA!AC52</f>
        <v>1110.6445027850789</v>
      </c>
      <c r="F23" s="6">
        <f>DATA!AD52</f>
        <v>1143.9638378686313</v>
      </c>
      <c r="G23" s="6">
        <f>DATA!AE52</f>
        <v>1178.2827530046902</v>
      </c>
      <c r="H23" s="6">
        <f>DATA!AF52</f>
        <v>1213.631235594831</v>
      </c>
      <c r="I23" s="6">
        <f>DATA!AG52</f>
        <v>1250.040172662676</v>
      </c>
      <c r="J23" s="6">
        <f>DATA!AH52</f>
        <v>1287.5413778425564</v>
      </c>
      <c r="K23" s="6">
        <f>DATA!AI52</f>
        <v>1326.1676191778331</v>
      </c>
      <c r="L23" s="6">
        <f>DATA!AJ52</f>
        <v>1365.9526477531681</v>
      </c>
      <c r="M23" s="6">
        <f>DATA!AK52</f>
        <v>1406.9312271857632</v>
      </c>
      <c r="N23" s="7">
        <f t="shared" si="4"/>
        <v>14424.73702570446</v>
      </c>
    </row>
    <row r="24" spans="1:14" x14ac:dyDescent="0.25">
      <c r="A24" t="str">
        <f>DATA!A54</f>
        <v>Meals/Gifts/Entertainment</v>
      </c>
      <c r="B24" s="6">
        <f>DATA!Z54</f>
        <v>3049.1911596906066</v>
      </c>
      <c r="C24" s="6">
        <f>DATA!AA54</f>
        <v>3140.666894481325</v>
      </c>
      <c r="D24" s="6">
        <f>DATA!AB54</f>
        <v>3234.886901315765</v>
      </c>
      <c r="E24" s="6">
        <f>DATA!AC54</f>
        <v>3331.9335083552382</v>
      </c>
      <c r="F24" s="6">
        <f>DATA!AD54</f>
        <v>3431.8915136058954</v>
      </c>
      <c r="G24" s="6">
        <f>DATA!AE54</f>
        <v>3534.8482590140725</v>
      </c>
      <c r="H24" s="6">
        <f>DATA!AF54</f>
        <v>3640.893706784495</v>
      </c>
      <c r="I24" s="6">
        <f>DATA!AG54</f>
        <v>3750.1205179880299</v>
      </c>
      <c r="J24" s="6">
        <f>DATA!AH54</f>
        <v>3862.6241335276709</v>
      </c>
      <c r="K24" s="6">
        <f>DATA!AI54</f>
        <v>3978.5028575335009</v>
      </c>
      <c r="L24" s="6">
        <f>DATA!AJ54</f>
        <v>4097.8579432595061</v>
      </c>
      <c r="M24" s="6">
        <f>DATA!AK54</f>
        <v>4220.7936815572912</v>
      </c>
      <c r="N24" s="7">
        <f t="shared" si="4"/>
        <v>43274.211077113396</v>
      </c>
    </row>
    <row r="25" spans="1:14" x14ac:dyDescent="0.25">
      <c r="A25" t="str">
        <f>DATA!A56</f>
        <v>Research and Development</v>
      </c>
      <c r="B25" s="6">
        <f>DATA!Z56</f>
        <v>100677.27939237964</v>
      </c>
      <c r="C25" s="6">
        <f>DATA!AA56</f>
        <v>102200.13114851539</v>
      </c>
      <c r="D25" s="6">
        <f>DATA!AB56</f>
        <v>103763.34493736671</v>
      </c>
      <c r="E25" s="6">
        <f>DATA!AC56</f>
        <v>105368.72992021989</v>
      </c>
      <c r="F25" s="6">
        <f>DATA!AD56</f>
        <v>107018.19692075854</v>
      </c>
      <c r="G25" s="6">
        <f>DATA!AE56</f>
        <v>108713.76453822214</v>
      </c>
      <c r="H25" s="6">
        <f>DATA!AF56</f>
        <v>110457.5656361626</v>
      </c>
      <c r="I25" s="6">
        <f>DATA!AG56</f>
        <v>112251.85423009392</v>
      </c>
      <c r="J25" s="6">
        <f>DATA!AH56</f>
        <v>114099.01279878663</v>
      </c>
      <c r="K25" s="6">
        <f>DATA!AI56</f>
        <v>116001.56004550302</v>
      </c>
      <c r="L25" s="6">
        <f>DATA!AJ56</f>
        <v>117962.15913711197</v>
      </c>
      <c r="M25" s="6">
        <f>DATA!AK56</f>
        <v>119983.62645076838</v>
      </c>
      <c r="N25" s="7">
        <f t="shared" si="4"/>
        <v>1318497.2251558888</v>
      </c>
    </row>
    <row r="26" spans="1:14" x14ac:dyDescent="0.25">
      <c r="A26" t="str">
        <f>DATA!A58</f>
        <v>Salaries and Wages</v>
      </c>
      <c r="B26" s="6">
        <f>DATA!Z58</f>
        <v>112133.33333333334</v>
      </c>
      <c r="C26" s="6">
        <f>DATA!AA58</f>
        <v>112133.33333333334</v>
      </c>
      <c r="D26" s="6">
        <f>DATA!AB58</f>
        <v>112133.33333333334</v>
      </c>
      <c r="E26" s="6">
        <f>DATA!AC58</f>
        <v>112133.33333333334</v>
      </c>
      <c r="F26" s="6">
        <f>DATA!AD58</f>
        <v>112133.33333333334</v>
      </c>
      <c r="G26" s="6">
        <f>DATA!AE58</f>
        <v>112133.33333333334</v>
      </c>
      <c r="H26" s="6">
        <f>DATA!AF58</f>
        <v>112133.33333333334</v>
      </c>
      <c r="I26" s="6">
        <f>DATA!AG58</f>
        <v>112133.33333333334</v>
      </c>
      <c r="J26" s="6">
        <f>DATA!AH58</f>
        <v>112133.33333333334</v>
      </c>
      <c r="K26" s="6">
        <f>DATA!AI58</f>
        <v>112133.33333333334</v>
      </c>
      <c r="L26" s="6">
        <f>DATA!AJ58</f>
        <v>112133.33333333334</v>
      </c>
      <c r="M26" s="6">
        <f>DATA!AK58</f>
        <v>112133.33333333334</v>
      </c>
      <c r="N26" s="7">
        <f t="shared" si="4"/>
        <v>1345600</v>
      </c>
    </row>
    <row r="27" spans="1:14" x14ac:dyDescent="0.25">
      <c r="A27" t="str">
        <f>DATA!A59</f>
        <v>Taxes and Licenses</v>
      </c>
      <c r="B27" s="6">
        <f>DATA!Z59</f>
        <v>1269.7346485319144</v>
      </c>
      <c r="C27" s="6">
        <f>DATA!AA59</f>
        <v>1282.4319950172337</v>
      </c>
      <c r="D27" s="6">
        <f>DATA!AB59</f>
        <v>1295.2563149674061</v>
      </c>
      <c r="E27" s="6">
        <f>DATA!AC59</f>
        <v>1308.2088781170801</v>
      </c>
      <c r="F27" s="6">
        <f>DATA!AD59</f>
        <v>1321.2909668982509</v>
      </c>
      <c r="G27" s="6">
        <f>DATA!AE59</f>
        <v>1334.5038765672334</v>
      </c>
      <c r="H27" s="6">
        <f>DATA!AF59</f>
        <v>1347.8489153329058</v>
      </c>
      <c r="I27" s="6">
        <f>DATA!AG59</f>
        <v>1361.3274044862349</v>
      </c>
      <c r="J27" s="6">
        <f>DATA!AH59</f>
        <v>1374.9406785310973</v>
      </c>
      <c r="K27" s="6">
        <f>DATA!AI59</f>
        <v>1388.6900853164084</v>
      </c>
      <c r="L27" s="6">
        <f>DATA!AJ59</f>
        <v>1402.5769861695726</v>
      </c>
      <c r="M27" s="6">
        <f>DATA!AK59</f>
        <v>1416.6027560312684</v>
      </c>
      <c r="N27" s="7">
        <f t="shared" si="4"/>
        <v>16103.413505966608</v>
      </c>
    </row>
    <row r="28" spans="1:14" x14ac:dyDescent="0.25">
      <c r="A28" t="str">
        <f>DATA!A61</f>
        <v>Telephone &amp; Internet</v>
      </c>
      <c r="B28" s="6">
        <f>DATA!Z61</f>
        <v>634.86732426595722</v>
      </c>
      <c r="C28" s="6">
        <f>DATA!AA61</f>
        <v>641.21599750861685</v>
      </c>
      <c r="D28" s="6">
        <f>DATA!AB61</f>
        <v>647.62815748370303</v>
      </c>
      <c r="E28" s="6">
        <f>DATA!AC61</f>
        <v>654.10443905854004</v>
      </c>
      <c r="F28" s="6">
        <f>DATA!AD61</f>
        <v>660.64548344912544</v>
      </c>
      <c r="G28" s="6">
        <f>DATA!AE61</f>
        <v>667.25193828361671</v>
      </c>
      <c r="H28" s="6">
        <f>DATA!AF61</f>
        <v>673.92445766645289</v>
      </c>
      <c r="I28" s="6">
        <f>DATA!AG61</f>
        <v>680.66370224311743</v>
      </c>
      <c r="J28" s="6">
        <f>DATA!AH61</f>
        <v>687.47033926554866</v>
      </c>
      <c r="K28" s="6">
        <f>DATA!AI61</f>
        <v>694.34504265820419</v>
      </c>
      <c r="L28" s="6">
        <f>DATA!AJ61</f>
        <v>701.2884930847863</v>
      </c>
      <c r="M28" s="6">
        <f>DATA!AK61</f>
        <v>708.30137801563421</v>
      </c>
      <c r="N28" s="7">
        <f t="shared" si="4"/>
        <v>8051.7067529833039</v>
      </c>
    </row>
    <row r="29" spans="1:14" x14ac:dyDescent="0.25">
      <c r="A29" t="s">
        <v>72</v>
      </c>
      <c r="B29" s="6">
        <f>LoanModule!D33</f>
        <v>0</v>
      </c>
      <c r="C29" s="6">
        <f>LoanModule!D34</f>
        <v>0</v>
      </c>
      <c r="D29" s="6">
        <f>LoanModule!D35</f>
        <v>0</v>
      </c>
      <c r="E29" s="6">
        <f>LoanModule!D36</f>
        <v>0</v>
      </c>
      <c r="F29" s="6">
        <f>LoanModule!D37</f>
        <v>0</v>
      </c>
      <c r="G29" s="6">
        <f>LoanModule!D38</f>
        <v>0</v>
      </c>
      <c r="H29" s="6">
        <f>LoanModule!D39</f>
        <v>0</v>
      </c>
      <c r="I29" s="6">
        <f>LoanModule!D40</f>
        <v>0</v>
      </c>
      <c r="J29" s="6">
        <f>LoanModule!D41</f>
        <v>0</v>
      </c>
      <c r="K29" s="6">
        <f>LoanModule!D42</f>
        <v>0</v>
      </c>
      <c r="L29" s="6">
        <f>LoanModule!D43</f>
        <v>0</v>
      </c>
      <c r="M29" s="6">
        <f>LoanModule!D44</f>
        <v>0</v>
      </c>
      <c r="N29" s="7">
        <f t="shared" si="4"/>
        <v>0</v>
      </c>
    </row>
    <row r="30" spans="1:14" x14ac:dyDescent="0.25">
      <c r="A30" t="s">
        <v>73</v>
      </c>
      <c r="B30" s="6">
        <f>DATA!B74*DATA!Z79</f>
        <v>0</v>
      </c>
      <c r="C30" s="6">
        <f>DATA!B74*DATA!AA79</f>
        <v>0</v>
      </c>
      <c r="D30" s="6">
        <f>DATA!B74*DATA!AB79</f>
        <v>0</v>
      </c>
      <c r="E30" s="6">
        <f>DATA!B74*DATA!AC79</f>
        <v>0</v>
      </c>
      <c r="F30" s="6">
        <f>DATA!B74*DATA!AD79</f>
        <v>0</v>
      </c>
      <c r="G30" s="6">
        <f>DATA!B74*DATA!AE79</f>
        <v>0</v>
      </c>
      <c r="H30" s="6">
        <f>DATA!B74*DATA!AF79</f>
        <v>0</v>
      </c>
      <c r="I30" s="6">
        <f>DATA!B74*DATA!AG79</f>
        <v>0</v>
      </c>
      <c r="J30" s="6">
        <f>DATA!B74*DATA!AH79</f>
        <v>0</v>
      </c>
      <c r="K30" s="6">
        <f>DATA!B74*DATA!AI79</f>
        <v>0</v>
      </c>
      <c r="L30" s="6">
        <f>DATA!B74*DATA!AJ79</f>
        <v>0</v>
      </c>
      <c r="M30" s="6">
        <f>DATA!B74*DATA!AK79</f>
        <v>0</v>
      </c>
      <c r="N30" s="7">
        <f t="shared" si="4"/>
        <v>0</v>
      </c>
    </row>
    <row r="31" spans="1:14" x14ac:dyDescent="0.25">
      <c r="A31" t="s">
        <v>74</v>
      </c>
      <c r="B31" s="6">
        <f>DATA!Z83</f>
        <v>1994.0476190476188</v>
      </c>
      <c r="C31" s="6">
        <f>DATA!AA83</f>
        <v>1994.0476190476188</v>
      </c>
      <c r="D31" s="6">
        <f>DATA!AB83</f>
        <v>1994.0476190476188</v>
      </c>
      <c r="E31" s="6">
        <f>DATA!AC83</f>
        <v>1994.0476190476188</v>
      </c>
      <c r="F31" s="6">
        <f>DATA!AD83</f>
        <v>1994.0476190476188</v>
      </c>
      <c r="G31" s="6">
        <f>DATA!AE83</f>
        <v>1994.0476190476188</v>
      </c>
      <c r="H31" s="6">
        <f>DATA!AF83</f>
        <v>1994.0476190476188</v>
      </c>
      <c r="I31" s="6">
        <f>DATA!AG83</f>
        <v>1994.0476190476188</v>
      </c>
      <c r="J31" s="6">
        <f>DATA!AH83</f>
        <v>1994.0476190476188</v>
      </c>
      <c r="K31" s="6">
        <f>DATA!AI83</f>
        <v>1994.0476190476188</v>
      </c>
      <c r="L31" s="6">
        <f>DATA!AJ83</f>
        <v>1994.0476190476188</v>
      </c>
      <c r="M31" s="6">
        <f>DATA!AK83</f>
        <v>1994.0476190476188</v>
      </c>
      <c r="N31" s="7">
        <f t="shared" si="4"/>
        <v>23928.571428571424</v>
      </c>
    </row>
    <row r="32" spans="1:14" x14ac:dyDescent="0.25">
      <c r="A32" s="4" t="s">
        <v>75</v>
      </c>
      <c r="B32" s="8">
        <f t="shared" ref="B32:M32" si="5">SUM(B18:B31)</f>
        <v>381080.82505290426</v>
      </c>
      <c r="C32" s="8">
        <f t="shared" si="5"/>
        <v>385076.06471558713</v>
      </c>
      <c r="D32" s="8">
        <f t="shared" si="5"/>
        <v>389175.27323995251</v>
      </c>
      <c r="E32" s="8">
        <f t="shared" si="5"/>
        <v>393383.00707055483</v>
      </c>
      <c r="F32" s="8">
        <f t="shared" si="5"/>
        <v>397704.07516023365</v>
      </c>
      <c r="G32" s="8">
        <f t="shared" si="5"/>
        <v>402143.55404756893</v>
      </c>
      <c r="H32" s="8">
        <f t="shared" si="5"/>
        <v>406706.8038575289</v>
      </c>
      <c r="I32" s="8">
        <f t="shared" si="5"/>
        <v>411399.48528247367</v>
      </c>
      <c r="J32" s="8">
        <f t="shared" si="5"/>
        <v>416227.57760424743</v>
      </c>
      <c r="K32" s="8">
        <f t="shared" si="5"/>
        <v>421197.39782187843</v>
      </c>
      <c r="L32" s="8">
        <f t="shared" si="5"/>
        <v>426315.62095343473</v>
      </c>
      <c r="M32" s="8">
        <f t="shared" si="5"/>
        <v>431589.3015848645</v>
      </c>
      <c r="N32" s="8">
        <f t="shared" si="4"/>
        <v>4861998.9863912296</v>
      </c>
    </row>
    <row r="34" spans="1:14" x14ac:dyDescent="0.25">
      <c r="A34" s="4" t="s">
        <v>76</v>
      </c>
      <c r="B34" s="10">
        <f t="shared" ref="B34:M34" si="6">B14-B32</f>
        <v>228552.32934018358</v>
      </c>
      <c r="C34" s="10">
        <f t="shared" si="6"/>
        <v>234233.67504217854</v>
      </c>
      <c r="D34" s="10">
        <f t="shared" si="6"/>
        <v>240071.4136368162</v>
      </c>
      <c r="E34" s="10">
        <f t="shared" si="6"/>
        <v>246072.65465358348</v>
      </c>
      <c r="F34" s="10">
        <f t="shared" si="6"/>
        <v>252244.91539330164</v>
      </c>
      <c r="G34" s="10">
        <f t="shared" si="6"/>
        <v>258596.14608749188</v>
      </c>
      <c r="H34" s="10">
        <f t="shared" si="6"/>
        <v>265134.75664678385</v>
      </c>
      <c r="I34" s="10">
        <f t="shared" si="6"/>
        <v>271869.64509974438</v>
      </c>
      <c r="J34" s="10">
        <f t="shared" si="6"/>
        <v>278810.22783003474</v>
      </c>
      <c r="K34" s="10">
        <f t="shared" si="6"/>
        <v>285966.47172672686</v>
      </c>
      <c r="L34" s="10">
        <f t="shared" si="6"/>
        <v>293348.9283700044</v>
      </c>
      <c r="M34" s="10">
        <f t="shared" si="6"/>
        <v>300968.77038231597</v>
      </c>
      <c r="N34" s="10">
        <f>SUM(B34:M34)</f>
        <v>3155869.9342091652</v>
      </c>
    </row>
    <row r="36" spans="1:14" x14ac:dyDescent="0.25">
      <c r="A36" t="s">
        <v>77</v>
      </c>
      <c r="B36" s="6">
        <f>N36/12</f>
        <v>39448.374177614562</v>
      </c>
      <c r="C36" s="6">
        <f>N36/12</f>
        <v>39448.374177614562</v>
      </c>
      <c r="D36" s="6">
        <f>N36/12</f>
        <v>39448.374177614562</v>
      </c>
      <c r="E36" s="6">
        <f>N36/12</f>
        <v>39448.374177614562</v>
      </c>
      <c r="F36" s="6">
        <f>N36/12</f>
        <v>39448.374177614562</v>
      </c>
      <c r="G36" s="6">
        <f>N36/12</f>
        <v>39448.374177614562</v>
      </c>
      <c r="H36" s="6">
        <f>N36/12</f>
        <v>39448.374177614562</v>
      </c>
      <c r="I36" s="6">
        <f>N36/12</f>
        <v>39448.374177614562</v>
      </c>
      <c r="J36" s="6">
        <f>N36/12</f>
        <v>39448.374177614562</v>
      </c>
      <c r="K36" s="6">
        <f>N36/12</f>
        <v>39448.374177614562</v>
      </c>
      <c r="L36" s="6">
        <f>N36/12</f>
        <v>39448.374177614562</v>
      </c>
      <c r="M36" s="6">
        <f>N36/12</f>
        <v>39448.374177614562</v>
      </c>
      <c r="N36" s="7">
        <f>IF(N34&lt;=0,0,N34*DATA!B75)</f>
        <v>473380.49013137474</v>
      </c>
    </row>
    <row r="38" spans="1:14" x14ac:dyDescent="0.25">
      <c r="A38" s="4" t="s">
        <v>78</v>
      </c>
      <c r="B38" s="9">
        <f t="shared" ref="B38:M38" si="7">B34-B36</f>
        <v>189103.95516256901</v>
      </c>
      <c r="C38" s="9">
        <f t="shared" si="7"/>
        <v>194785.30086456396</v>
      </c>
      <c r="D38" s="9">
        <f t="shared" si="7"/>
        <v>200623.03945920162</v>
      </c>
      <c r="E38" s="9">
        <f t="shared" si="7"/>
        <v>206624.2804759689</v>
      </c>
      <c r="F38" s="9">
        <f t="shared" si="7"/>
        <v>212796.54121568706</v>
      </c>
      <c r="G38" s="9">
        <f t="shared" si="7"/>
        <v>219147.77190987731</v>
      </c>
      <c r="H38" s="9">
        <f t="shared" si="7"/>
        <v>225686.38246916927</v>
      </c>
      <c r="I38" s="9">
        <f t="shared" si="7"/>
        <v>232421.2709221298</v>
      </c>
      <c r="J38" s="9">
        <f t="shared" si="7"/>
        <v>239361.85365242016</v>
      </c>
      <c r="K38" s="9">
        <f t="shared" si="7"/>
        <v>246518.09754911228</v>
      </c>
      <c r="L38" s="9">
        <f t="shared" si="7"/>
        <v>253900.55419238983</v>
      </c>
      <c r="M38" s="9">
        <f t="shared" si="7"/>
        <v>261520.39620470139</v>
      </c>
      <c r="N38" s="9">
        <f>SUM(B38:M38)</f>
        <v>2682489.4440777907</v>
      </c>
    </row>
    <row r="43" spans="1:14" x14ac:dyDescent="0.25">
      <c r="A43" t="s">
        <v>79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opLeftCell="A20" workbookViewId="0">
      <selection activeCell="D37" sqref="D37"/>
    </sheetView>
  </sheetViews>
  <sheetFormatPr defaultColWidth="8.85546875" defaultRowHeight="15" x14ac:dyDescent="0.25"/>
  <cols>
    <col min="1" max="1" width="31.7109375" bestFit="1" customWidth="1"/>
    <col min="2" max="13" width="10.85546875" bestFit="1" customWidth="1"/>
    <col min="14" max="14" width="11.85546875" bestFit="1" customWidth="1"/>
  </cols>
  <sheetData>
    <row r="1" spans="1:14" x14ac:dyDescent="0.25">
      <c r="A1" t="str">
        <f>DATA!B1</f>
        <v>Example Manufacturing Company</v>
      </c>
    </row>
    <row r="2" spans="1:14" x14ac:dyDescent="0.25">
      <c r="A2" t="s">
        <v>63</v>
      </c>
    </row>
    <row r="3" spans="1:14" x14ac:dyDescent="0.25">
      <c r="A3" t="s">
        <v>137</v>
      </c>
    </row>
    <row r="5" spans="1:14" x14ac:dyDescent="0.25">
      <c r="A5" t="s">
        <v>17</v>
      </c>
      <c r="B5">
        <v>37</v>
      </c>
      <c r="C5">
        <v>38</v>
      </c>
      <c r="D5">
        <v>39</v>
      </c>
      <c r="E5">
        <v>40</v>
      </c>
      <c r="F5">
        <v>41</v>
      </c>
      <c r="G5">
        <v>42</v>
      </c>
      <c r="H5">
        <v>43</v>
      </c>
      <c r="I5">
        <v>44</v>
      </c>
      <c r="J5">
        <v>45</v>
      </c>
      <c r="K5">
        <v>46</v>
      </c>
      <c r="L5">
        <v>47</v>
      </c>
      <c r="M5">
        <v>48</v>
      </c>
      <c r="N5" s="23" t="s">
        <v>137</v>
      </c>
    </row>
    <row r="6" spans="1:14" x14ac:dyDescent="0.25">
      <c r="A6" s="4" t="s">
        <v>65</v>
      </c>
    </row>
    <row r="7" spans="1:14" x14ac:dyDescent="0.25">
      <c r="A7" t="str">
        <f>SUBSTITUTE(DATA!A26,"Days to Get Paid","",1)</f>
        <v>Sales</v>
      </c>
      <c r="B7" s="6">
        <f>DATA!AL85</f>
        <v>1220689.4085969687</v>
      </c>
      <c r="C7" s="6">
        <f>DATA!AM85</f>
        <v>1242212.5359159256</v>
      </c>
      <c r="D7" s="6">
        <f>DATA!AN85</f>
        <v>1264438.9869524711</v>
      </c>
      <c r="E7" s="6">
        <f>DATA!AO85</f>
        <v>1287404.0415323726</v>
      </c>
      <c r="F7" s="6">
        <f>DATA!AP85</f>
        <v>1311145.0368087951</v>
      </c>
      <c r="G7" s="6">
        <f>DATA!AQ85</f>
        <v>1335701.4925417521</v>
      </c>
      <c r="H7" s="6">
        <f>DATA!AR85</f>
        <v>1361115.2441214316</v>
      </c>
      <c r="I7" s="6">
        <f>DATA!AS85</f>
        <v>1387430.583817827</v>
      </c>
      <c r="J7" s="6">
        <f>DATA!AT85</f>
        <v>1414694.4107693569</v>
      </c>
      <c r="K7" s="6">
        <f>DATA!AU85</f>
        <v>1442956.3902552729</v>
      </c>
      <c r="L7" s="6">
        <f>DATA!AV85</f>
        <v>1472269.1228308608</v>
      </c>
      <c r="M7" s="6">
        <f>DATA!AW85</f>
        <v>1502688.3239407423</v>
      </c>
      <c r="N7" s="7">
        <f>SUM(B7:M7)</f>
        <v>16242745.578083776</v>
      </c>
    </row>
    <row r="8" spans="1:14" x14ac:dyDescent="0.25">
      <c r="A8" s="4" t="s">
        <v>66</v>
      </c>
      <c r="B8" s="9">
        <f t="shared" ref="B8:M8" si="0">SUM(B7:B7)</f>
        <v>1220689.4085969687</v>
      </c>
      <c r="C8" s="9">
        <f t="shared" si="0"/>
        <v>1242212.5359159256</v>
      </c>
      <c r="D8" s="9">
        <f t="shared" si="0"/>
        <v>1264438.9869524711</v>
      </c>
      <c r="E8" s="9">
        <f t="shared" si="0"/>
        <v>1287404.0415323726</v>
      </c>
      <c r="F8" s="9">
        <f t="shared" si="0"/>
        <v>1311145.0368087951</v>
      </c>
      <c r="G8" s="9">
        <f t="shared" si="0"/>
        <v>1335701.4925417521</v>
      </c>
      <c r="H8" s="9">
        <f t="shared" si="0"/>
        <v>1361115.2441214316</v>
      </c>
      <c r="I8" s="9">
        <f t="shared" si="0"/>
        <v>1387430.583817827</v>
      </c>
      <c r="J8" s="9">
        <f t="shared" si="0"/>
        <v>1414694.4107693569</v>
      </c>
      <c r="K8" s="9">
        <f t="shared" si="0"/>
        <v>1442956.3902552729</v>
      </c>
      <c r="L8" s="9">
        <f t="shared" si="0"/>
        <v>1472269.1228308608</v>
      </c>
      <c r="M8" s="9">
        <f t="shared" si="0"/>
        <v>1502688.3239407423</v>
      </c>
      <c r="N8" s="9">
        <f>SUM(B8:M8)</f>
        <v>16242745.578083776</v>
      </c>
    </row>
    <row r="10" spans="1:14" x14ac:dyDescent="0.25">
      <c r="A10" t="s">
        <v>67</v>
      </c>
      <c r="B10" s="6">
        <f>DATA!AL80</f>
        <v>450507.8009599357</v>
      </c>
      <c r="C10" s="6">
        <f>DATA!AM80</f>
        <v>457868.78786602558</v>
      </c>
      <c r="D10" s="6">
        <f>DATA!AN80</f>
        <v>465465.16468747729</v>
      </c>
      <c r="E10" s="6">
        <f>DATA!AO80</f>
        <v>473308.6367474221</v>
      </c>
      <c r="F10" s="6">
        <f>DATA!AP80</f>
        <v>481411.57725363702</v>
      </c>
      <c r="G10" s="6">
        <f>DATA!AQ80</f>
        <v>489787.06673118402</v>
      </c>
      <c r="H10" s="6">
        <f>DATA!AR80</f>
        <v>498448.93480541417</v>
      </c>
      <c r="I10" s="6">
        <f>DATA!AS80</f>
        <v>507411.80447593343</v>
      </c>
      <c r="J10" s="6">
        <f>DATA!AT80</f>
        <v>516691.13903055887</v>
      </c>
      <c r="K10" s="6">
        <f>DATA!AU80</f>
        <v>526303.29175721528</v>
      </c>
      <c r="L10" s="6">
        <f>DATA!AV80</f>
        <v>536265.55862120748</v>
      </c>
      <c r="M10" s="6">
        <f>DATA!AW80</f>
        <v>546596.23408533155</v>
      </c>
      <c r="N10" s="7">
        <f>SUM(B10:M10)</f>
        <v>5950065.9970213426</v>
      </c>
    </row>
    <row r="11" spans="1:14" x14ac:dyDescent="0.25">
      <c r="A11" t="s">
        <v>68</v>
      </c>
      <c r="B11" s="6">
        <f>DATA!AL81</f>
        <v>24317.880810397957</v>
      </c>
      <c r="C11" s="6">
        <f>DATA!AM81</f>
        <v>24741.817276788948</v>
      </c>
      <c r="D11" s="6">
        <f>DATA!AN81</f>
        <v>25179.524574447936</v>
      </c>
      <c r="E11" s="6">
        <f>DATA!AO81</f>
        <v>25631.692459528153</v>
      </c>
      <c r="F11" s="6">
        <f>DATA!AP81</f>
        <v>26099.050780366892</v>
      </c>
      <c r="G11" s="6">
        <f>DATA!AQ81</f>
        <v>26582.371904211326</v>
      </c>
      <c r="H11" s="6">
        <f>DATA!AR81</f>
        <v>27082.473292693394</v>
      </c>
      <c r="I11" s="6">
        <f>DATA!AS81</f>
        <v>27600.220235223496</v>
      </c>
      <c r="J11" s="6">
        <f>DATA!AT81</f>
        <v>28136.528750040448</v>
      </c>
      <c r="K11" s="6">
        <f>DATA!AU81</f>
        <v>28692.368663257341</v>
      </c>
      <c r="L11" s="6">
        <f>DATA!AV81</f>
        <v>29268.766876883896</v>
      </c>
      <c r="M11" s="6">
        <f>DATA!AW81</f>
        <v>29866.810837485307</v>
      </c>
      <c r="N11" s="7">
        <f>SUM(B11:M11)</f>
        <v>323199.50646132516</v>
      </c>
    </row>
    <row r="12" spans="1:14" x14ac:dyDescent="0.25">
      <c r="A12" s="4" t="s">
        <v>69</v>
      </c>
      <c r="B12" s="9">
        <f t="shared" ref="B12:M12" si="1">SUM(B10:B11)</f>
        <v>474825.68177033367</v>
      </c>
      <c r="C12" s="9">
        <f t="shared" si="1"/>
        <v>482610.60514281451</v>
      </c>
      <c r="D12" s="9">
        <f t="shared" si="1"/>
        <v>490644.68926192523</v>
      </c>
      <c r="E12" s="9">
        <f t="shared" si="1"/>
        <v>498940.32920695026</v>
      </c>
      <c r="F12" s="9">
        <f t="shared" si="1"/>
        <v>507510.62803400389</v>
      </c>
      <c r="G12" s="9">
        <f t="shared" si="1"/>
        <v>516369.43863539537</v>
      </c>
      <c r="H12" s="9">
        <f t="shared" si="1"/>
        <v>525531.40809810755</v>
      </c>
      <c r="I12" s="9">
        <f t="shared" si="1"/>
        <v>535012.02471115696</v>
      </c>
      <c r="J12" s="9">
        <f t="shared" si="1"/>
        <v>544827.66778059932</v>
      </c>
      <c r="K12" s="9">
        <f t="shared" si="1"/>
        <v>554995.66042047262</v>
      </c>
      <c r="L12" s="9">
        <f t="shared" si="1"/>
        <v>565534.32549809141</v>
      </c>
      <c r="M12" s="9">
        <f t="shared" si="1"/>
        <v>576463.04492281692</v>
      </c>
      <c r="N12" s="9">
        <f>SUM(B12:M12)</f>
        <v>6273265.5034826677</v>
      </c>
    </row>
    <row r="14" spans="1:14" x14ac:dyDescent="0.25">
      <c r="A14" s="4" t="s">
        <v>70</v>
      </c>
      <c r="B14" s="10">
        <f t="shared" ref="B14:M14" si="2">B8-B12</f>
        <v>745863.72682663507</v>
      </c>
      <c r="C14" s="10">
        <f t="shared" si="2"/>
        <v>759601.93077311106</v>
      </c>
      <c r="D14" s="10">
        <f t="shared" si="2"/>
        <v>773794.29769054591</v>
      </c>
      <c r="E14" s="10">
        <f t="shared" si="2"/>
        <v>788463.71232542233</v>
      </c>
      <c r="F14" s="10">
        <f t="shared" si="2"/>
        <v>803634.40877479117</v>
      </c>
      <c r="G14" s="10">
        <f t="shared" si="2"/>
        <v>819332.05390635668</v>
      </c>
      <c r="H14" s="10">
        <f t="shared" si="2"/>
        <v>835583.83602332405</v>
      </c>
      <c r="I14" s="10">
        <f t="shared" si="2"/>
        <v>852418.55910667009</v>
      </c>
      <c r="J14" s="10">
        <f t="shared" si="2"/>
        <v>869866.74298875756</v>
      </c>
      <c r="K14" s="10">
        <f t="shared" si="2"/>
        <v>887960.72983480024</v>
      </c>
      <c r="L14" s="10">
        <f t="shared" si="2"/>
        <v>906734.79733276938</v>
      </c>
      <c r="M14" s="10">
        <f t="shared" si="2"/>
        <v>926225.27901792538</v>
      </c>
      <c r="N14" s="10">
        <f>SUM(B14:M14)</f>
        <v>9969480.0746011101</v>
      </c>
    </row>
    <row r="15" spans="1:14" x14ac:dyDescent="0.25">
      <c r="A15" t="s">
        <v>71</v>
      </c>
      <c r="B15" s="2">
        <f t="shared" ref="B15:N15" si="3">IF(B8=0,0,B14/B8)</f>
        <v>0.61101843071114459</v>
      </c>
      <c r="C15" s="2">
        <f t="shared" si="3"/>
        <v>0.61149111670575007</v>
      </c>
      <c r="D15" s="2">
        <f t="shared" si="3"/>
        <v>0.611966497138412</v>
      </c>
      <c r="E15" s="2">
        <f t="shared" si="3"/>
        <v>0.61244464588361003</v>
      </c>
      <c r="F15" s="2">
        <f t="shared" si="3"/>
        <v>0.61292563844100911</v>
      </c>
      <c r="G15" s="2">
        <f t="shared" si="3"/>
        <v>0.61340955182076029</v>
      </c>
      <c r="H15" s="2">
        <f t="shared" si="3"/>
        <v>0.61389646441192725</v>
      </c>
      <c r="I15" s="2">
        <f t="shared" si="3"/>
        <v>0.61438645583337859</v>
      </c>
      <c r="J15" s="2">
        <f t="shared" si="3"/>
        <v>0.61487960676659192</v>
      </c>
      <c r="K15" s="2">
        <f t="shared" si="3"/>
        <v>0.61537599876993609</v>
      </c>
      <c r="L15" s="2">
        <f t="shared" si="3"/>
        <v>0.61587571407414354</v>
      </c>
      <c r="M15" s="2">
        <f t="shared" si="3"/>
        <v>0.61637883535884219</v>
      </c>
      <c r="N15" s="11">
        <f t="shared" si="3"/>
        <v>0.61378047366898736</v>
      </c>
    </row>
    <row r="17" spans="1:14" x14ac:dyDescent="0.25">
      <c r="A17" s="4" t="s">
        <v>19</v>
      </c>
    </row>
    <row r="18" spans="1:14" x14ac:dyDescent="0.25">
      <c r="A18" t="str">
        <f>DATA!A43</f>
        <v>Professional, Accounting and Legal</v>
      </c>
      <c r="B18" s="6">
        <f>DATA!AL43</f>
        <v>43724.12930089391</v>
      </c>
      <c r="C18" s="6">
        <f>DATA!AM43</f>
        <v>44477.438757057404</v>
      </c>
      <c r="D18" s="6">
        <f>DATA!AN43</f>
        <v>45255.364543336495</v>
      </c>
      <c r="E18" s="6">
        <f>DATA!AO43</f>
        <v>46059.141453633049</v>
      </c>
      <c r="F18" s="6">
        <f>DATA!AP43</f>
        <v>46890.076288307835</v>
      </c>
      <c r="G18" s="6">
        <f>DATA!AQ43</f>
        <v>47749.552238961325</v>
      </c>
      <c r="H18" s="6">
        <f>DATA!AR43</f>
        <v>48639.033544250109</v>
      </c>
      <c r="I18" s="6">
        <f>DATA!AS43</f>
        <v>49560.070433623951</v>
      </c>
      <c r="J18" s="6">
        <f>DATA!AT43</f>
        <v>50514.304376927495</v>
      </c>
      <c r="K18" s="6">
        <f>DATA!AU43</f>
        <v>51503.473658934556</v>
      </c>
      <c r="L18" s="6">
        <f>DATA!AV43</f>
        <v>52529.419299080131</v>
      </c>
      <c r="M18" s="6">
        <f>DATA!AW43</f>
        <v>53594.091337925987</v>
      </c>
      <c r="N18" s="7">
        <f t="shared" ref="N18:N32" si="4">SUM(B18:M18)</f>
        <v>580496.09523293236</v>
      </c>
    </row>
    <row r="19" spans="1:14" x14ac:dyDescent="0.25">
      <c r="A19" t="str">
        <f>DATA!A45</f>
        <v>Marketing &amp; Advertising</v>
      </c>
      <c r="B19" s="6">
        <f>DATA!AL45</f>
        <v>13886.900853164085</v>
      </c>
      <c r="C19" s="6">
        <f>DATA!AM45</f>
        <v>14025.769861695726</v>
      </c>
      <c r="D19" s="6">
        <f>DATA!AN45</f>
        <v>14166.027560312683</v>
      </c>
      <c r="E19" s="6">
        <f>DATA!AO45</f>
        <v>14307.687835915809</v>
      </c>
      <c r="F19" s="6">
        <f>DATA!AP45</f>
        <v>14450.764714274967</v>
      </c>
      <c r="G19" s="6">
        <f>DATA!AQ45</f>
        <v>14595.272361417716</v>
      </c>
      <c r="H19" s="6">
        <f>DATA!AR45</f>
        <v>14741.225085031892</v>
      </c>
      <c r="I19" s="6">
        <f>DATA!AS45</f>
        <v>14888.637335882211</v>
      </c>
      <c r="J19" s="6">
        <f>DATA!AT45</f>
        <v>15037.523709241033</v>
      </c>
      <c r="K19" s="6">
        <f>DATA!AU45</f>
        <v>15187.898946333444</v>
      </c>
      <c r="L19" s="6">
        <f>DATA!AV45</f>
        <v>15339.777935796777</v>
      </c>
      <c r="M19" s="6">
        <f>DATA!AW45</f>
        <v>15493.175715154744</v>
      </c>
      <c r="N19" s="7">
        <f t="shared" si="4"/>
        <v>176120.66191422107</v>
      </c>
    </row>
    <row r="20" spans="1:14" x14ac:dyDescent="0.25">
      <c r="A20" t="str">
        <f>DATA!A46</f>
        <v>Contingency Expense</v>
      </c>
      <c r="B20" s="6">
        <f>DATA!AL46</f>
        <v>122068.94085969689</v>
      </c>
      <c r="C20" s="6">
        <f>DATA!AM46</f>
        <v>124221.25359159257</v>
      </c>
      <c r="D20" s="6">
        <f>DATA!AN46</f>
        <v>126443.89869524712</v>
      </c>
      <c r="E20" s="6">
        <f>DATA!AO46</f>
        <v>128740.40415323726</v>
      </c>
      <c r="F20" s="6">
        <f>DATA!AP46</f>
        <v>131114.50368087951</v>
      </c>
      <c r="G20" s="6">
        <f>DATA!AQ46</f>
        <v>133570.14925417522</v>
      </c>
      <c r="H20" s="6">
        <f>DATA!AR46</f>
        <v>136111.52441214316</v>
      </c>
      <c r="I20" s="6">
        <f>DATA!AS46</f>
        <v>138743.0583817827</v>
      </c>
      <c r="J20" s="6">
        <f>DATA!AT46</f>
        <v>141469.44107693571</v>
      </c>
      <c r="K20" s="6">
        <f>DATA!AU46</f>
        <v>144295.63902552729</v>
      </c>
      <c r="L20" s="6">
        <f>DATA!AV46</f>
        <v>147226.91228308607</v>
      </c>
      <c r="M20" s="6">
        <f>DATA!AW46</f>
        <v>150268.83239407424</v>
      </c>
      <c r="N20" s="7">
        <f t="shared" si="4"/>
        <v>1624274.5578083775</v>
      </c>
    </row>
    <row r="21" spans="1:14" x14ac:dyDescent="0.25">
      <c r="A21" t="str">
        <f>DATA!A48</f>
        <v>Business Insurance</v>
      </c>
      <c r="B21" s="6">
        <f>DATA!AL48</f>
        <v>5882.7576343878754</v>
      </c>
      <c r="C21" s="6">
        <f>DATA!AM48</f>
        <v>5968.8501436637025</v>
      </c>
      <c r="D21" s="6">
        <f>DATA!AN48</f>
        <v>6057.7559478098847</v>
      </c>
      <c r="E21" s="6">
        <f>DATA!AO48</f>
        <v>6149.6161661294909</v>
      </c>
      <c r="F21" s="6">
        <f>DATA!AP48</f>
        <v>6244.5801472351804</v>
      </c>
      <c r="G21" s="6">
        <f>DATA!AQ48</f>
        <v>6342.8059701670081</v>
      </c>
      <c r="H21" s="6">
        <f>DATA!AR48</f>
        <v>6444.4609764857269</v>
      </c>
      <c r="I21" s="6">
        <f>DATA!AS48</f>
        <v>6549.7223352713081</v>
      </c>
      <c r="J21" s="6">
        <f>DATA!AT48</f>
        <v>6658.7776430774275</v>
      </c>
      <c r="K21" s="6">
        <f>DATA!AU48</f>
        <v>6771.8255610210917</v>
      </c>
      <c r="L21" s="6">
        <f>DATA!AV48</f>
        <v>6889.0764913234434</v>
      </c>
      <c r="M21" s="6">
        <f>DATA!AW48</f>
        <v>7010.7532957629692</v>
      </c>
      <c r="N21" s="7">
        <f t="shared" si="4"/>
        <v>76970.982312335109</v>
      </c>
    </row>
    <row r="22" spans="1:14" x14ac:dyDescent="0.25">
      <c r="A22" t="str">
        <f>DATA!A50</f>
        <v>Maintenance and Repairs</v>
      </c>
      <c r="B22" s="6">
        <f>DATA!AL50</f>
        <v>7324.1364515818123</v>
      </c>
      <c r="C22" s="6">
        <f>DATA!AM50</f>
        <v>7453.2752154955542</v>
      </c>
      <c r="D22" s="6">
        <f>DATA!AN50</f>
        <v>7586.633921714827</v>
      </c>
      <c r="E22" s="6">
        <f>DATA!AO50</f>
        <v>7724.4242491942359</v>
      </c>
      <c r="F22" s="6">
        <f>DATA!AP50</f>
        <v>7866.8702208527702</v>
      </c>
      <c r="G22" s="6">
        <f>DATA!AQ50</f>
        <v>8014.2089552505122</v>
      </c>
      <c r="H22" s="6">
        <f>DATA!AR50</f>
        <v>8166.6914647285894</v>
      </c>
      <c r="I22" s="6">
        <f>DATA!AS50</f>
        <v>8324.5835029069622</v>
      </c>
      <c r="J22" s="6">
        <f>DATA!AT50</f>
        <v>8488.1664646161407</v>
      </c>
      <c r="K22" s="6">
        <f>DATA!AU50</f>
        <v>8657.7383415316381</v>
      </c>
      <c r="L22" s="6">
        <f>DATA!AV50</f>
        <v>8833.6147369851642</v>
      </c>
      <c r="M22" s="6">
        <f>DATA!AW50</f>
        <v>9016.1299436444533</v>
      </c>
      <c r="N22" s="7">
        <f t="shared" si="4"/>
        <v>97456.473468502663</v>
      </c>
    </row>
    <row r="23" spans="1:14" x14ac:dyDescent="0.25">
      <c r="A23" t="str">
        <f>DATA!A52</f>
        <v>Office Supplies</v>
      </c>
      <c r="B23" s="6">
        <f>DATA!AL52</f>
        <v>1449.1391640013362</v>
      </c>
      <c r="C23" s="6">
        <f>DATA!AM52</f>
        <v>1492.6133389213762</v>
      </c>
      <c r="D23" s="6">
        <f>DATA!AN52</f>
        <v>1537.3917390890176</v>
      </c>
      <c r="E23" s="6">
        <f>DATA!AO52</f>
        <v>1583.5134912616882</v>
      </c>
      <c r="F23" s="6">
        <f>DATA!AP52</f>
        <v>1631.0188959995389</v>
      </c>
      <c r="G23" s="6">
        <f>DATA!AQ52</f>
        <v>1679.9494628795251</v>
      </c>
      <c r="H23" s="6">
        <f>DATA!AR52</f>
        <v>1730.3479467659108</v>
      </c>
      <c r="I23" s="6">
        <f>DATA!AS52</f>
        <v>1782.2583851688883</v>
      </c>
      <c r="J23" s="6">
        <f>DATA!AT52</f>
        <v>1835.7261367239551</v>
      </c>
      <c r="K23" s="6">
        <f>DATA!AU52</f>
        <v>1890.7979208256738</v>
      </c>
      <c r="L23" s="6">
        <f>DATA!AV52</f>
        <v>1947.5218584504441</v>
      </c>
      <c r="M23" s="6">
        <f>DATA!AW52</f>
        <v>2005.9475142039576</v>
      </c>
      <c r="N23" s="7">
        <f t="shared" si="4"/>
        <v>20566.225854291315</v>
      </c>
    </row>
    <row r="24" spans="1:14" x14ac:dyDescent="0.25">
      <c r="A24" t="str">
        <f>DATA!A54</f>
        <v>Meals/Gifts/Entertainment</v>
      </c>
      <c r="B24" s="6">
        <f>DATA!AL54</f>
        <v>4347.4174920040105</v>
      </c>
      <c r="C24" s="6">
        <f>DATA!AM54</f>
        <v>4477.8400167641312</v>
      </c>
      <c r="D24" s="6">
        <f>DATA!AN54</f>
        <v>4612.1752172670549</v>
      </c>
      <c r="E24" s="6">
        <f>DATA!AO54</f>
        <v>4750.5404737850668</v>
      </c>
      <c r="F24" s="6">
        <f>DATA!AP54</f>
        <v>4893.0566879986191</v>
      </c>
      <c r="G24" s="6">
        <f>DATA!AQ54</f>
        <v>5039.8483886385775</v>
      </c>
      <c r="H24" s="6">
        <f>DATA!AR54</f>
        <v>5191.0438402977352</v>
      </c>
      <c r="I24" s="6">
        <f>DATA!AS54</f>
        <v>5346.775155506667</v>
      </c>
      <c r="J24" s="6">
        <f>DATA!AT54</f>
        <v>5507.1784101718667</v>
      </c>
      <c r="K24" s="6">
        <f>DATA!AU54</f>
        <v>5672.3937624770233</v>
      </c>
      <c r="L24" s="6">
        <f>DATA!AV54</f>
        <v>5842.5655753513338</v>
      </c>
      <c r="M24" s="6">
        <f>DATA!AW54</f>
        <v>6017.8425426118738</v>
      </c>
      <c r="N24" s="7">
        <f t="shared" si="4"/>
        <v>61698.677562873956</v>
      </c>
    </row>
    <row r="25" spans="1:14" x14ac:dyDescent="0.25">
      <c r="A25" t="str">
        <f>DATA!A56</f>
        <v>Research and Development</v>
      </c>
      <c r="B25" s="6">
        <f>DATA!AL56</f>
        <v>122068.94085969689</v>
      </c>
      <c r="C25" s="6">
        <f>DATA!AM56</f>
        <v>124221.25359159257</v>
      </c>
      <c r="D25" s="6">
        <f>DATA!AN56</f>
        <v>126443.89869524712</v>
      </c>
      <c r="E25" s="6">
        <f>DATA!AO56</f>
        <v>128740.40415323726</v>
      </c>
      <c r="F25" s="6">
        <f>DATA!AP56</f>
        <v>131114.50368087951</v>
      </c>
      <c r="G25" s="6">
        <f>DATA!AQ56</f>
        <v>133570.14925417522</v>
      </c>
      <c r="H25" s="6">
        <f>DATA!AR56</f>
        <v>136111.52441214316</v>
      </c>
      <c r="I25" s="6">
        <f>DATA!AS56</f>
        <v>138743.0583817827</v>
      </c>
      <c r="J25" s="6">
        <f>DATA!AT56</f>
        <v>141469.44107693571</v>
      </c>
      <c r="K25" s="6">
        <f>DATA!AU56</f>
        <v>144295.63902552729</v>
      </c>
      <c r="L25" s="6">
        <f>DATA!AV56</f>
        <v>147226.91228308607</v>
      </c>
      <c r="M25" s="6">
        <f>DATA!AW56</f>
        <v>150268.83239407424</v>
      </c>
      <c r="N25" s="7">
        <f t="shared" si="4"/>
        <v>1624274.5578083775</v>
      </c>
    </row>
    <row r="26" spans="1:14" x14ac:dyDescent="0.25">
      <c r="A26" t="str">
        <f>DATA!A58</f>
        <v>Salaries and Wages</v>
      </c>
      <c r="B26" s="6">
        <f>DATA!AL58</f>
        <v>112133.33333333334</v>
      </c>
      <c r="C26" s="6">
        <f>DATA!AM58</f>
        <v>112133.33333333334</v>
      </c>
      <c r="D26" s="6">
        <f>DATA!AN58</f>
        <v>112133.33333333334</v>
      </c>
      <c r="E26" s="6">
        <f>DATA!AO58</f>
        <v>112133.33333333334</v>
      </c>
      <c r="F26" s="6">
        <f>DATA!AP58</f>
        <v>112133.33333333334</v>
      </c>
      <c r="G26" s="6">
        <f>DATA!AQ58</f>
        <v>112133.33333333334</v>
      </c>
      <c r="H26" s="6">
        <f>DATA!AR58</f>
        <v>112133.33333333334</v>
      </c>
      <c r="I26" s="6">
        <f>DATA!AS58</f>
        <v>112133.33333333334</v>
      </c>
      <c r="J26" s="6">
        <f>DATA!AT58</f>
        <v>112133.33333333334</v>
      </c>
      <c r="K26" s="6">
        <f>DATA!AU58</f>
        <v>112133.33333333334</v>
      </c>
      <c r="L26" s="6">
        <f>DATA!AV58</f>
        <v>112133.33333333334</v>
      </c>
      <c r="M26" s="6">
        <f>DATA!AW58</f>
        <v>112133.33333333334</v>
      </c>
      <c r="N26" s="7">
        <f t="shared" si="4"/>
        <v>1345600</v>
      </c>
    </row>
    <row r="27" spans="1:14" x14ac:dyDescent="0.25">
      <c r="A27" t="str">
        <f>DATA!A59</f>
        <v>Taxes and Licenses</v>
      </c>
      <c r="B27" s="6">
        <f>DATA!AL59</f>
        <v>1430.768783591581</v>
      </c>
      <c r="C27" s="6">
        <f>DATA!AM59</f>
        <v>1445.0764714274969</v>
      </c>
      <c r="D27" s="6">
        <f>DATA!AN59</f>
        <v>1459.5272361417719</v>
      </c>
      <c r="E27" s="6">
        <f>DATA!AO59</f>
        <v>1474.1225085031897</v>
      </c>
      <c r="F27" s="6">
        <f>DATA!AP59</f>
        <v>1488.8637335882215</v>
      </c>
      <c r="G27" s="6">
        <f>DATA!AQ59</f>
        <v>1503.7523709241038</v>
      </c>
      <c r="H27" s="6">
        <f>DATA!AR59</f>
        <v>1518.7898946333448</v>
      </c>
      <c r="I27" s="6">
        <f>DATA!AS59</f>
        <v>1533.9777935796783</v>
      </c>
      <c r="J27" s="6">
        <f>DATA!AT59</f>
        <v>1549.317571515475</v>
      </c>
      <c r="K27" s="6">
        <f>DATA!AU59</f>
        <v>1564.8107472306299</v>
      </c>
      <c r="L27" s="6">
        <f>DATA!AV59</f>
        <v>1580.4588547029362</v>
      </c>
      <c r="M27" s="6">
        <f>DATA!AW59</f>
        <v>1596.2634432499656</v>
      </c>
      <c r="N27" s="7">
        <f t="shared" si="4"/>
        <v>18145.729409088392</v>
      </c>
    </row>
    <row r="28" spans="1:14" x14ac:dyDescent="0.25">
      <c r="A28" t="str">
        <f>DATA!A61</f>
        <v>Telephone &amp; Internet</v>
      </c>
      <c r="B28" s="6">
        <f>DATA!AL61</f>
        <v>715.38439179579052</v>
      </c>
      <c r="C28" s="6">
        <f>DATA!AM61</f>
        <v>722.53823571374846</v>
      </c>
      <c r="D28" s="6">
        <f>DATA!AN61</f>
        <v>729.76361807088597</v>
      </c>
      <c r="E28" s="6">
        <f>DATA!AO61</f>
        <v>737.06125425159485</v>
      </c>
      <c r="F28" s="6">
        <f>DATA!AP61</f>
        <v>744.43186679411076</v>
      </c>
      <c r="G28" s="6">
        <f>DATA!AQ61</f>
        <v>751.87618546205192</v>
      </c>
      <c r="H28" s="6">
        <f>DATA!AR61</f>
        <v>759.39494731667241</v>
      </c>
      <c r="I28" s="6">
        <f>DATA!AS61</f>
        <v>766.98889678983915</v>
      </c>
      <c r="J28" s="6">
        <f>DATA!AT61</f>
        <v>774.65878575773752</v>
      </c>
      <c r="K28" s="6">
        <f>DATA!AU61</f>
        <v>782.40537361531494</v>
      </c>
      <c r="L28" s="6">
        <f>DATA!AV61</f>
        <v>790.22942735146808</v>
      </c>
      <c r="M28" s="6">
        <f>DATA!AW61</f>
        <v>798.13172162498279</v>
      </c>
      <c r="N28" s="7">
        <f t="shared" si="4"/>
        <v>9072.8647045441958</v>
      </c>
    </row>
    <row r="29" spans="1:14" x14ac:dyDescent="0.25">
      <c r="A29" t="s">
        <v>72</v>
      </c>
      <c r="B29" s="6">
        <f>LoanModule!D45</f>
        <v>3333.3333333333335</v>
      </c>
      <c r="C29" s="6">
        <f>LoanModule!D46</f>
        <v>3315.1130241037699</v>
      </c>
      <c r="D29" s="6">
        <f>LoanModule!D47</f>
        <v>3296.7712461460092</v>
      </c>
      <c r="E29" s="6">
        <f>LoanModule!D48</f>
        <v>3278.3071896685306</v>
      </c>
      <c r="F29" s="6">
        <f>LoanModule!D49</f>
        <v>3259.7200394812021</v>
      </c>
      <c r="G29" s="6">
        <f>LoanModule!D50</f>
        <v>3241.0089749592912</v>
      </c>
      <c r="H29" s="6">
        <f>LoanModule!D51</f>
        <v>3222.1731700072341</v>
      </c>
      <c r="I29" s="6">
        <f>LoanModule!D52</f>
        <v>3203.211793022163</v>
      </c>
      <c r="J29" s="6">
        <f>LoanModule!D53</f>
        <v>3184.1240068571919</v>
      </c>
      <c r="K29" s="6">
        <f>LoanModule!D54</f>
        <v>3164.9089687844539</v>
      </c>
      <c r="L29" s="6">
        <f>LoanModule!D55</f>
        <v>3145.5658304578978</v>
      </c>
      <c r="M29" s="6">
        <f>LoanModule!D56</f>
        <v>3126.0937378758322</v>
      </c>
      <c r="N29" s="7">
        <f t="shared" si="4"/>
        <v>38770.331314696909</v>
      </c>
    </row>
    <row r="30" spans="1:14" x14ac:dyDescent="0.25">
      <c r="A30" t="s">
        <v>73</v>
      </c>
      <c r="B30" s="6">
        <f>DATA!$B$74*DATA!AL79</f>
        <v>0</v>
      </c>
      <c r="C30" s="6">
        <f>DATA!$B$74*DATA!AM79</f>
        <v>0</v>
      </c>
      <c r="D30" s="6">
        <f>DATA!$B$74*DATA!AN79</f>
        <v>0</v>
      </c>
      <c r="E30" s="6">
        <f>DATA!$B$74*DATA!AO79</f>
        <v>0</v>
      </c>
      <c r="F30" s="6">
        <f>DATA!$B$74*DATA!AP79</f>
        <v>0</v>
      </c>
      <c r="G30" s="6">
        <f>DATA!$B$74*DATA!AQ79</f>
        <v>0</v>
      </c>
      <c r="H30" s="6">
        <f>DATA!$B$74*DATA!AR79</f>
        <v>0</v>
      </c>
      <c r="I30" s="6">
        <f>DATA!$B$74*DATA!AS79</f>
        <v>0</v>
      </c>
      <c r="J30" s="6">
        <f>DATA!$B$74*DATA!AT79</f>
        <v>0</v>
      </c>
      <c r="K30" s="6">
        <f>DATA!$B$74*DATA!AU79</f>
        <v>0</v>
      </c>
      <c r="L30" s="6">
        <f>DATA!$B$74*DATA!AV79</f>
        <v>0</v>
      </c>
      <c r="M30" s="6">
        <f>DATA!$B$74*DATA!AW79</f>
        <v>0</v>
      </c>
      <c r="N30" s="7">
        <f t="shared" si="4"/>
        <v>0</v>
      </c>
    </row>
    <row r="31" spans="1:14" x14ac:dyDescent="0.25">
      <c r="A31" t="s">
        <v>74</v>
      </c>
      <c r="B31" s="6">
        <f>DATA!AL83</f>
        <v>1994.0476190476188</v>
      </c>
      <c r="C31" s="6">
        <f>DATA!AM83</f>
        <v>1994.0476190476188</v>
      </c>
      <c r="D31" s="6">
        <f>DATA!AN83</f>
        <v>1994.0476190476188</v>
      </c>
      <c r="E31" s="6">
        <f>DATA!AO83</f>
        <v>1994.0476190476188</v>
      </c>
      <c r="F31" s="6">
        <f>DATA!AP83</f>
        <v>1994.0476190476188</v>
      </c>
      <c r="G31" s="6">
        <f>DATA!AQ83</f>
        <v>1994.0476190476188</v>
      </c>
      <c r="H31" s="6">
        <f>DATA!AR83</f>
        <v>1994.0476190476188</v>
      </c>
      <c r="I31" s="6">
        <f>DATA!AS83</f>
        <v>1994.0476190476188</v>
      </c>
      <c r="J31" s="6">
        <f>DATA!AT83</f>
        <v>1994.0476190476188</v>
      </c>
      <c r="K31" s="6">
        <f>DATA!AU83</f>
        <v>1994.0476190476188</v>
      </c>
      <c r="L31" s="6">
        <f>DATA!AV83</f>
        <v>1994.0476190476188</v>
      </c>
      <c r="M31" s="6">
        <f>DATA!AW83</f>
        <v>1785.7142857142856</v>
      </c>
      <c r="N31" s="7">
        <f t="shared" si="4"/>
        <v>23720.238095238092</v>
      </c>
    </row>
    <row r="32" spans="1:14" x14ac:dyDescent="0.25">
      <c r="A32" s="4" t="s">
        <v>75</v>
      </c>
      <c r="B32" s="8">
        <f t="shared" ref="B32:M32" si="5">SUM(B18:B31)</f>
        <v>440359.23007652845</v>
      </c>
      <c r="C32" s="8">
        <f t="shared" si="5"/>
        <v>445948.40320040897</v>
      </c>
      <c r="D32" s="8">
        <f t="shared" si="5"/>
        <v>451716.58937276382</v>
      </c>
      <c r="E32" s="8">
        <f t="shared" si="5"/>
        <v>457672.60388119816</v>
      </c>
      <c r="F32" s="8">
        <f t="shared" si="5"/>
        <v>463825.77090867248</v>
      </c>
      <c r="G32" s="8">
        <f t="shared" si="5"/>
        <v>470185.95436939161</v>
      </c>
      <c r="H32" s="8">
        <f t="shared" si="5"/>
        <v>476763.59064618457</v>
      </c>
      <c r="I32" s="8">
        <f t="shared" si="5"/>
        <v>483569.72334769811</v>
      </c>
      <c r="J32" s="8">
        <f t="shared" si="5"/>
        <v>490616.0402111407</v>
      </c>
      <c r="K32" s="8">
        <f t="shared" si="5"/>
        <v>497914.91228418949</v>
      </c>
      <c r="L32" s="8">
        <f t="shared" si="5"/>
        <v>505479.43552805262</v>
      </c>
      <c r="M32" s="8">
        <f t="shared" si="5"/>
        <v>513115.14165925089</v>
      </c>
      <c r="N32" s="8">
        <f t="shared" si="4"/>
        <v>5697167.3954854794</v>
      </c>
    </row>
    <row r="34" spans="1:14" x14ac:dyDescent="0.25">
      <c r="A34" s="4" t="s">
        <v>76</v>
      </c>
      <c r="B34" s="10">
        <f t="shared" ref="B34:M34" si="6">B14-B32</f>
        <v>305504.49675010663</v>
      </c>
      <c r="C34" s="10">
        <f t="shared" si="6"/>
        <v>313653.52757270209</v>
      </c>
      <c r="D34" s="10">
        <f t="shared" si="6"/>
        <v>322077.70831778209</v>
      </c>
      <c r="E34" s="10">
        <f t="shared" si="6"/>
        <v>330791.10844422417</v>
      </c>
      <c r="F34" s="10">
        <f t="shared" si="6"/>
        <v>339808.63786611869</v>
      </c>
      <c r="G34" s="10">
        <f t="shared" si="6"/>
        <v>349146.09953696508</v>
      </c>
      <c r="H34" s="10">
        <f t="shared" si="6"/>
        <v>358820.24537713948</v>
      </c>
      <c r="I34" s="10">
        <f t="shared" si="6"/>
        <v>368848.83575897198</v>
      </c>
      <c r="J34" s="10">
        <f t="shared" si="6"/>
        <v>379250.70277761685</v>
      </c>
      <c r="K34" s="10">
        <f t="shared" si="6"/>
        <v>390045.81755061075</v>
      </c>
      <c r="L34" s="10">
        <f t="shared" si="6"/>
        <v>401255.36180471675</v>
      </c>
      <c r="M34" s="10">
        <f t="shared" si="6"/>
        <v>413110.13735867449</v>
      </c>
      <c r="N34" s="10">
        <f>SUM(B34:M34)</f>
        <v>4272312.6791156288</v>
      </c>
    </row>
    <row r="36" spans="1:14" x14ac:dyDescent="0.25">
      <c r="A36" t="s">
        <v>77</v>
      </c>
      <c r="B36" s="6">
        <f>N36/12</f>
        <v>53403.908488945359</v>
      </c>
      <c r="C36" s="6">
        <f>N36/12</f>
        <v>53403.908488945359</v>
      </c>
      <c r="D36" s="6">
        <f>N36/12</f>
        <v>53403.908488945359</v>
      </c>
      <c r="E36" s="6">
        <f>N36/12</f>
        <v>53403.908488945359</v>
      </c>
      <c r="F36" s="6">
        <f>N36/12</f>
        <v>53403.908488945359</v>
      </c>
      <c r="G36" s="6">
        <f>N36/12</f>
        <v>53403.908488945359</v>
      </c>
      <c r="H36" s="6">
        <f>N36/12</f>
        <v>53403.908488945359</v>
      </c>
      <c r="I36" s="6">
        <f>N36/12</f>
        <v>53403.908488945359</v>
      </c>
      <c r="J36" s="6">
        <f>N36/12</f>
        <v>53403.908488945359</v>
      </c>
      <c r="K36" s="6">
        <f>N36/12</f>
        <v>53403.908488945359</v>
      </c>
      <c r="L36" s="6">
        <f>N36/12</f>
        <v>53403.908488945359</v>
      </c>
      <c r="M36" s="6">
        <f>N36/12</f>
        <v>53403.908488945359</v>
      </c>
      <c r="N36" s="7">
        <f>IF(N34&lt;=0,0,N34*DATA!B75)</f>
        <v>640846.90186734428</v>
      </c>
    </row>
    <row r="38" spans="1:14" x14ac:dyDescent="0.25">
      <c r="A38" s="4" t="s">
        <v>78</v>
      </c>
      <c r="B38" s="9">
        <f t="shared" ref="B38:M38" si="7">B34-B36</f>
        <v>252100.58826116126</v>
      </c>
      <c r="C38" s="9">
        <f t="shared" si="7"/>
        <v>260249.61908375673</v>
      </c>
      <c r="D38" s="9">
        <f t="shared" si="7"/>
        <v>268673.79982883675</v>
      </c>
      <c r="E38" s="9">
        <f t="shared" si="7"/>
        <v>277387.19995527883</v>
      </c>
      <c r="F38" s="9">
        <f t="shared" si="7"/>
        <v>286404.72937717335</v>
      </c>
      <c r="G38" s="9">
        <f t="shared" si="7"/>
        <v>295742.19104801974</v>
      </c>
      <c r="H38" s="9">
        <f t="shared" si="7"/>
        <v>305416.33688819414</v>
      </c>
      <c r="I38" s="9">
        <f t="shared" si="7"/>
        <v>315444.92727002664</v>
      </c>
      <c r="J38" s="9">
        <f t="shared" si="7"/>
        <v>325846.79428867152</v>
      </c>
      <c r="K38" s="9">
        <f t="shared" si="7"/>
        <v>336641.90906166541</v>
      </c>
      <c r="L38" s="9">
        <f t="shared" si="7"/>
        <v>347851.45331577142</v>
      </c>
      <c r="M38" s="9">
        <f t="shared" si="7"/>
        <v>359706.22886972915</v>
      </c>
      <c r="N38" s="9">
        <f>SUM(B38:M38)</f>
        <v>3631465.7772482852</v>
      </c>
    </row>
    <row r="43" spans="1:14" x14ac:dyDescent="0.25">
      <c r="A43" t="s">
        <v>79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opLeftCell="A16" workbookViewId="0">
      <selection activeCell="F33" sqref="F33"/>
    </sheetView>
  </sheetViews>
  <sheetFormatPr defaultColWidth="8.85546875" defaultRowHeight="15" x14ac:dyDescent="0.25"/>
  <cols>
    <col min="1" max="1" width="31.7109375" bestFit="1" customWidth="1"/>
    <col min="2" max="13" width="10.85546875" bestFit="1" customWidth="1"/>
    <col min="14" max="14" width="11.85546875" bestFit="1" customWidth="1"/>
  </cols>
  <sheetData>
    <row r="1" spans="1:14" x14ac:dyDescent="0.25">
      <c r="A1" t="str">
        <f>DATA!B1</f>
        <v>Example Manufacturing Company</v>
      </c>
    </row>
    <row r="2" spans="1:14" x14ac:dyDescent="0.25">
      <c r="A2" t="s">
        <v>63</v>
      </c>
    </row>
    <row r="3" spans="1:14" x14ac:dyDescent="0.25">
      <c r="A3" t="s">
        <v>138</v>
      </c>
    </row>
    <row r="5" spans="1:14" x14ac:dyDescent="0.25">
      <c r="A5" t="s">
        <v>17</v>
      </c>
      <c r="B5">
        <v>49</v>
      </c>
      <c r="C5">
        <v>50</v>
      </c>
      <c r="D5">
        <v>51</v>
      </c>
      <c r="E5">
        <v>52</v>
      </c>
      <c r="F5">
        <v>53</v>
      </c>
      <c r="G5">
        <v>54</v>
      </c>
      <c r="H5">
        <v>55</v>
      </c>
      <c r="I5">
        <v>56</v>
      </c>
      <c r="J5">
        <v>57</v>
      </c>
      <c r="K5">
        <v>58</v>
      </c>
      <c r="L5">
        <v>59</v>
      </c>
      <c r="M5">
        <v>60</v>
      </c>
      <c r="N5" s="4" t="s">
        <v>138</v>
      </c>
    </row>
    <row r="6" spans="1:14" x14ac:dyDescent="0.25">
      <c r="A6" s="4" t="s">
        <v>65</v>
      </c>
    </row>
    <row r="7" spans="1:14" x14ac:dyDescent="0.25">
      <c r="A7" t="str">
        <f>SUBSTITUTE(DATA!A26,"Days to Get Paid","",1)</f>
        <v>Sales</v>
      </c>
      <c r="B7" s="6">
        <f>DATA!AX85</f>
        <v>1534273.0146642369</v>
      </c>
      <c r="C7" s="6">
        <f>DATA!AY85</f>
        <v>1567085.7242877791</v>
      </c>
      <c r="D7" s="6">
        <f>DATA!AZ85</f>
        <v>1601192.7054430686</v>
      </c>
      <c r="E7" s="6">
        <f>DATA!BA85</f>
        <v>1636664.1625960243</v>
      </c>
      <c r="F7" s="6">
        <f>DATA!BB85</f>
        <v>1673574.4947209877</v>
      </c>
      <c r="G7" s="6">
        <f>DATA!BC85</f>
        <v>1712002.5530470735</v>
      </c>
      <c r="H7" s="6">
        <f>DATA!BD85</f>
        <v>1752031.9148193756</v>
      </c>
      <c r="I7" s="6">
        <f>DATA!BE85</f>
        <v>1793751.1740770428</v>
      </c>
      <c r="J7" s="6">
        <f>DATA!BF85</f>
        <v>1837254.2505133438</v>
      </c>
      <c r="K7" s="6">
        <f>DATA!BG85</f>
        <v>1882640.7175498905</v>
      </c>
      <c r="L7" s="6">
        <f>DATA!BH85</f>
        <v>1930016.1508285464</v>
      </c>
      <c r="M7" s="6">
        <f>DATA!BI85</f>
        <v>1979492.4984003715</v>
      </c>
      <c r="N7" s="7">
        <f>SUM(B7:M7)</f>
        <v>20899979.360947743</v>
      </c>
    </row>
    <row r="8" spans="1:14" x14ac:dyDescent="0.25">
      <c r="A8" s="4" t="s">
        <v>66</v>
      </c>
      <c r="B8" s="9">
        <f t="shared" ref="B8:M8" si="0">SUM(B7:B7)</f>
        <v>1534273.0146642369</v>
      </c>
      <c r="C8" s="9">
        <f t="shared" si="0"/>
        <v>1567085.7242877791</v>
      </c>
      <c r="D8" s="9">
        <f t="shared" si="0"/>
        <v>1601192.7054430686</v>
      </c>
      <c r="E8" s="9">
        <f t="shared" si="0"/>
        <v>1636664.1625960243</v>
      </c>
      <c r="F8" s="9">
        <f t="shared" si="0"/>
        <v>1673574.4947209877</v>
      </c>
      <c r="G8" s="9">
        <f t="shared" si="0"/>
        <v>1712002.5530470735</v>
      </c>
      <c r="H8" s="9">
        <f t="shared" si="0"/>
        <v>1752031.9148193756</v>
      </c>
      <c r="I8" s="9">
        <f t="shared" si="0"/>
        <v>1793751.1740770428</v>
      </c>
      <c r="J8" s="9">
        <f t="shared" si="0"/>
        <v>1837254.2505133438</v>
      </c>
      <c r="K8" s="9">
        <f t="shared" si="0"/>
        <v>1882640.7175498905</v>
      </c>
      <c r="L8" s="9">
        <f t="shared" si="0"/>
        <v>1930016.1508285464</v>
      </c>
      <c r="M8" s="9">
        <f t="shared" si="0"/>
        <v>1979492.4984003715</v>
      </c>
      <c r="N8" s="9">
        <f>SUM(B8:M8)</f>
        <v>20899979.360947743</v>
      </c>
    </row>
    <row r="10" spans="1:14" x14ac:dyDescent="0.25">
      <c r="A10" t="s">
        <v>67</v>
      </c>
      <c r="B10" s="6">
        <f>DATA!AX80</f>
        <v>557314.67026093951</v>
      </c>
      <c r="C10" s="6">
        <f>DATA!AY80</f>
        <v>568441.33958934911</v>
      </c>
      <c r="D10" s="6">
        <f>DATA!AZ80</f>
        <v>579997.90126495389</v>
      </c>
      <c r="E10" s="6">
        <f>DATA!BA80</f>
        <v>592007.27162406314</v>
      </c>
      <c r="F10" s="6">
        <f>DATA!BB80</f>
        <v>604493.69873695006</v>
      </c>
      <c r="G10" s="6">
        <f>DATA!BC80</f>
        <v>617482.84145482548</v>
      </c>
      <c r="H10" s="6">
        <f>DATA!BD80</f>
        <v>631001.85317857249</v>
      </c>
      <c r="I10" s="6">
        <f>DATA!BE80</f>
        <v>645079.4706320751</v>
      </c>
      <c r="J10" s="6">
        <f>DATA!BF80</f>
        <v>659746.10793997056</v>
      </c>
      <c r="K10" s="6">
        <f>DATA!BG80</f>
        <v>675033.95632763265</v>
      </c>
      <c r="L10" s="6">
        <f>DATA!BH80</f>
        <v>690977.08978029003</v>
      </c>
      <c r="M10" s="6">
        <f>DATA!BI80</f>
        <v>707611.57701840193</v>
      </c>
      <c r="N10" s="7">
        <f>SUM(B10:M10)</f>
        <v>7529187.7778080236</v>
      </c>
    </row>
    <row r="11" spans="1:14" x14ac:dyDescent="0.25">
      <c r="A11" t="s">
        <v>68</v>
      </c>
      <c r="B11" s="6">
        <f>DATA!AX81</f>
        <v>30487.652217860366</v>
      </c>
      <c r="C11" s="6">
        <f>DATA!AY81</f>
        <v>31132.510824888552</v>
      </c>
      <c r="D11" s="6">
        <f>DATA!AZ81</f>
        <v>31802.678747510901</v>
      </c>
      <c r="E11" s="6">
        <f>DATA!BA81</f>
        <v>32499.524759674961</v>
      </c>
      <c r="F11" s="6">
        <f>DATA!BB81</f>
        <v>33224.49899399381</v>
      </c>
      <c r="G11" s="6">
        <f>DATA!BC81</f>
        <v>33979.137902845636</v>
      </c>
      <c r="H11" s="6">
        <f>DATA!BD81</f>
        <v>34765.069524678125</v>
      </c>
      <c r="I11" s="6">
        <f>DATA!BE81</f>
        <v>35584.019074383788</v>
      </c>
      <c r="J11" s="6">
        <f>DATA!BF81</f>
        <v>36437.814877783574</v>
      </c>
      <c r="K11" s="6">
        <f>DATA!BG81</f>
        <v>37328.394671499074</v>
      </c>
      <c r="L11" s="6">
        <f>DATA!BH81</f>
        <v>38257.812290815986</v>
      </c>
      <c r="M11" s="6">
        <f>DATA!BI81</f>
        <v>39228.24476954378</v>
      </c>
      <c r="N11" s="7">
        <f>SUM(B11:M11)</f>
        <v>414727.35865547851</v>
      </c>
    </row>
    <row r="12" spans="1:14" x14ac:dyDescent="0.25">
      <c r="A12" s="4" t="s">
        <v>69</v>
      </c>
      <c r="B12" s="9">
        <f t="shared" ref="B12:M12" si="1">SUM(B10:B11)</f>
        <v>587802.32247879985</v>
      </c>
      <c r="C12" s="9">
        <f t="shared" si="1"/>
        <v>599573.85041423771</v>
      </c>
      <c r="D12" s="9">
        <f t="shared" si="1"/>
        <v>611800.58001246478</v>
      </c>
      <c r="E12" s="9">
        <f t="shared" si="1"/>
        <v>624506.79638373805</v>
      </c>
      <c r="F12" s="9">
        <f t="shared" si="1"/>
        <v>637718.19773094391</v>
      </c>
      <c r="G12" s="9">
        <f t="shared" si="1"/>
        <v>651461.97935767111</v>
      </c>
      <c r="H12" s="9">
        <f t="shared" si="1"/>
        <v>665766.92270325066</v>
      </c>
      <c r="I12" s="9">
        <f t="shared" si="1"/>
        <v>680663.48970645887</v>
      </c>
      <c r="J12" s="9">
        <f t="shared" si="1"/>
        <v>696183.92281775409</v>
      </c>
      <c r="K12" s="9">
        <f t="shared" si="1"/>
        <v>712362.35099913168</v>
      </c>
      <c r="L12" s="9">
        <f t="shared" si="1"/>
        <v>729234.90207110601</v>
      </c>
      <c r="M12" s="9">
        <f t="shared" si="1"/>
        <v>746839.82178794569</v>
      </c>
      <c r="N12" s="9">
        <f>SUM(B12:M12)</f>
        <v>7943915.1364635034</v>
      </c>
    </row>
    <row r="14" spans="1:14" x14ac:dyDescent="0.25">
      <c r="A14" s="4" t="s">
        <v>70</v>
      </c>
      <c r="B14" s="10">
        <f t="shared" ref="B14:M14" si="2">B8-B12</f>
        <v>946470.69218543707</v>
      </c>
      <c r="C14" s="10">
        <f t="shared" si="2"/>
        <v>967511.87387354136</v>
      </c>
      <c r="D14" s="10">
        <f t="shared" si="2"/>
        <v>989392.12543060386</v>
      </c>
      <c r="E14" s="10">
        <f t="shared" si="2"/>
        <v>1012157.3662122863</v>
      </c>
      <c r="F14" s="10">
        <f t="shared" si="2"/>
        <v>1035856.2969900438</v>
      </c>
      <c r="G14" s="10">
        <f t="shared" si="2"/>
        <v>1060540.5736894025</v>
      </c>
      <c r="H14" s="10">
        <f t="shared" si="2"/>
        <v>1086264.9921161248</v>
      </c>
      <c r="I14" s="10">
        <f t="shared" si="2"/>
        <v>1113087.6843705839</v>
      </c>
      <c r="J14" s="10">
        <f t="shared" si="2"/>
        <v>1141070.3276955897</v>
      </c>
      <c r="K14" s="10">
        <f t="shared" si="2"/>
        <v>1170278.3665507589</v>
      </c>
      <c r="L14" s="10">
        <f t="shared" si="2"/>
        <v>1200781.2487574404</v>
      </c>
      <c r="M14" s="10">
        <f t="shared" si="2"/>
        <v>1232652.6766124258</v>
      </c>
      <c r="N14" s="10">
        <f>SUM(B14:M14)</f>
        <v>12956064.224484239</v>
      </c>
    </row>
    <row r="15" spans="1:14" x14ac:dyDescent="0.25">
      <c r="A15" t="s">
        <v>71</v>
      </c>
      <c r="B15" s="2">
        <f t="shared" ref="B15:N15" si="3">IF(B8=0,0,B14/B8)</f>
        <v>0.61688544551020763</v>
      </c>
      <c r="C15" s="2">
        <f t="shared" si="3"/>
        <v>0.61739562735999232</v>
      </c>
      <c r="D15" s="2">
        <f t="shared" si="3"/>
        <v>0.61790946340642217</v>
      </c>
      <c r="E15" s="2">
        <f t="shared" si="3"/>
        <v>0.61842703551768041</v>
      </c>
      <c r="F15" s="2">
        <f t="shared" si="3"/>
        <v>0.61894842461896982</v>
      </c>
      <c r="G15" s="2">
        <f t="shared" si="3"/>
        <v>0.61947371036440368</v>
      </c>
      <c r="H15" s="2">
        <f t="shared" si="3"/>
        <v>0.62000297079526234</v>
      </c>
      <c r="I15" s="2">
        <f t="shared" si="3"/>
        <v>0.62053628198644228</v>
      </c>
      <c r="J15" s="2">
        <f t="shared" si="3"/>
        <v>0.6210737176832033</v>
      </c>
      <c r="K15" s="2">
        <f t="shared" si="3"/>
        <v>0.62161534893061521</v>
      </c>
      <c r="L15" s="2">
        <f t="shared" si="3"/>
        <v>0.62216124369837578</v>
      </c>
      <c r="M15" s="2">
        <f t="shared" si="3"/>
        <v>0.62271146650393105</v>
      </c>
      <c r="N15" s="11">
        <f t="shared" si="3"/>
        <v>0.61990799133003183</v>
      </c>
    </row>
    <row r="17" spans="1:14" x14ac:dyDescent="0.25">
      <c r="A17" s="4" t="s">
        <v>19</v>
      </c>
    </row>
    <row r="18" spans="1:14" x14ac:dyDescent="0.25">
      <c r="A18" t="str">
        <f>DATA!A43</f>
        <v>Professional, Accounting and Legal</v>
      </c>
      <c r="B18" s="6">
        <f>DATA!AX43</f>
        <v>54699.555513248299</v>
      </c>
      <c r="C18" s="6">
        <f>DATA!AY43</f>
        <v>55848.000350072274</v>
      </c>
      <c r="D18" s="6">
        <f>DATA!AZ43</f>
        <v>57041.74469050741</v>
      </c>
      <c r="E18" s="6">
        <f>DATA!BA43</f>
        <v>58283.245690860858</v>
      </c>
      <c r="F18" s="6">
        <f>DATA!BB43</f>
        <v>59575.107315234578</v>
      </c>
      <c r="G18" s="6">
        <f>DATA!BC43</f>
        <v>60920.089356647579</v>
      </c>
      <c r="H18" s="6">
        <f>DATA!BD43</f>
        <v>62321.117018678153</v>
      </c>
      <c r="I18" s="6">
        <f>DATA!BE43</f>
        <v>63781.291092696505</v>
      </c>
      <c r="J18" s="6">
        <f>DATA!BF43</f>
        <v>65303.898767967039</v>
      </c>
      <c r="K18" s="6">
        <f>DATA!BG43</f>
        <v>66892.425114246173</v>
      </c>
      <c r="L18" s="6">
        <f>DATA!BH43</f>
        <v>68550.565278999129</v>
      </c>
      <c r="M18" s="6">
        <f>DATA!BI43</f>
        <v>70282.237444013008</v>
      </c>
      <c r="N18" s="7">
        <f t="shared" ref="N18:N32" si="4">SUM(B18:M18)</f>
        <v>743499.27763317106</v>
      </c>
    </row>
    <row r="19" spans="1:14" x14ac:dyDescent="0.25">
      <c r="A19" t="str">
        <f>DATA!A45</f>
        <v>Marketing &amp; Advertising</v>
      </c>
      <c r="B19" s="6">
        <f>DATA!AX45</f>
        <v>15648.107472306292</v>
      </c>
      <c r="C19" s="6">
        <f>DATA!AY45</f>
        <v>15804.588547029354</v>
      </c>
      <c r="D19" s="6">
        <f>DATA!AZ45</f>
        <v>15962.634432499648</v>
      </c>
      <c r="E19" s="6">
        <f>DATA!BA45</f>
        <v>16122.260776824645</v>
      </c>
      <c r="F19" s="6">
        <f>DATA!BB45</f>
        <v>16283.483384592892</v>
      </c>
      <c r="G19" s="6">
        <f>DATA!BC45</f>
        <v>16446.318218438821</v>
      </c>
      <c r="H19" s="6">
        <f>DATA!BD45</f>
        <v>16610.781400623207</v>
      </c>
      <c r="I19" s="6">
        <f>DATA!BE45</f>
        <v>16776.889214629438</v>
      </c>
      <c r="J19" s="6">
        <f>DATA!BF45</f>
        <v>16944.658106775732</v>
      </c>
      <c r="K19" s="6">
        <f>DATA!BG45</f>
        <v>17114.10468784349</v>
      </c>
      <c r="L19" s="6">
        <f>DATA!BH45</f>
        <v>17285.245734721924</v>
      </c>
      <c r="M19" s="6">
        <f>DATA!BI45</f>
        <v>17458.098192069145</v>
      </c>
      <c r="N19" s="7">
        <f t="shared" si="4"/>
        <v>198457.17016835461</v>
      </c>
    </row>
    <row r="20" spans="1:14" x14ac:dyDescent="0.25">
      <c r="A20" t="str">
        <f>DATA!A46</f>
        <v>Contingency Expense</v>
      </c>
      <c r="B20" s="6">
        <f>DATA!AX46</f>
        <v>153427.3014664237</v>
      </c>
      <c r="C20" s="6">
        <f>DATA!AY46</f>
        <v>156708.5724287779</v>
      </c>
      <c r="D20" s="6">
        <f>DATA!AZ46</f>
        <v>160119.27054430687</v>
      </c>
      <c r="E20" s="6">
        <f>DATA!BA46</f>
        <v>163666.41625960244</v>
      </c>
      <c r="F20" s="6">
        <f>DATA!BB46</f>
        <v>167357.44947209879</v>
      </c>
      <c r="G20" s="6">
        <f>DATA!BC46</f>
        <v>171200.25530470736</v>
      </c>
      <c r="H20" s="6">
        <f>DATA!BD46</f>
        <v>175203.19148193757</v>
      </c>
      <c r="I20" s="6">
        <f>DATA!BE46</f>
        <v>179375.1174077043</v>
      </c>
      <c r="J20" s="6">
        <f>DATA!BF46</f>
        <v>183725.4250513344</v>
      </c>
      <c r="K20" s="6">
        <f>DATA!BG46</f>
        <v>188264.07175498907</v>
      </c>
      <c r="L20" s="6">
        <f>DATA!BH46</f>
        <v>193001.61508285464</v>
      </c>
      <c r="M20" s="6">
        <f>DATA!BI46</f>
        <v>197949.24984003717</v>
      </c>
      <c r="N20" s="7">
        <f t="shared" si="4"/>
        <v>2089997.9360947739</v>
      </c>
    </row>
    <row r="21" spans="1:14" x14ac:dyDescent="0.25">
      <c r="A21" t="str">
        <f>DATA!A48</f>
        <v>Business Insurance</v>
      </c>
      <c r="B21" s="6">
        <f>DATA!AX48</f>
        <v>7137.0920586569482</v>
      </c>
      <c r="C21" s="6">
        <f>DATA!AY48</f>
        <v>7268.3428971511166</v>
      </c>
      <c r="D21" s="6">
        <f>DATA!AZ48</f>
        <v>7404.7708217722748</v>
      </c>
      <c r="E21" s="6">
        <f>DATA!BA48</f>
        <v>7546.6566503840977</v>
      </c>
      <c r="F21" s="6">
        <f>DATA!BB48</f>
        <v>7694.2979788839511</v>
      </c>
      <c r="G21" s="6">
        <f>DATA!BC48</f>
        <v>7848.0102121882946</v>
      </c>
      <c r="H21" s="6">
        <f>DATA!BD48</f>
        <v>8008.127659277503</v>
      </c>
      <c r="I21" s="6">
        <f>DATA!BE48</f>
        <v>8175.0046963081713</v>
      </c>
      <c r="J21" s="6">
        <f>DATA!BF48</f>
        <v>8349.0170020533751</v>
      </c>
      <c r="K21" s="6">
        <f>DATA!BG48</f>
        <v>8530.5628701995629</v>
      </c>
      <c r="L21" s="6">
        <f>DATA!BH48</f>
        <v>8720.0646033141857</v>
      </c>
      <c r="M21" s="6">
        <f>DATA!BI48</f>
        <v>8917.9699936014858</v>
      </c>
      <c r="N21" s="7">
        <f t="shared" si="4"/>
        <v>95599.917443790953</v>
      </c>
    </row>
    <row r="22" spans="1:14" x14ac:dyDescent="0.25">
      <c r="A22" t="str">
        <f>DATA!A50</f>
        <v>Maintenance and Repairs</v>
      </c>
      <c r="B22" s="6">
        <f>DATA!AX50</f>
        <v>9205.6380879854223</v>
      </c>
      <c r="C22" s="6">
        <f>DATA!AY50</f>
        <v>9402.5143457266749</v>
      </c>
      <c r="D22" s="6">
        <f>DATA!AZ50</f>
        <v>9607.1562326584117</v>
      </c>
      <c r="E22" s="6">
        <f>DATA!BA50</f>
        <v>9819.9849755761461</v>
      </c>
      <c r="F22" s="6">
        <f>DATA!BB50</f>
        <v>10041.446968325927</v>
      </c>
      <c r="G22" s="6">
        <f>DATA!BC50</f>
        <v>10272.015318282442</v>
      </c>
      <c r="H22" s="6">
        <f>DATA!BD50</f>
        <v>10512.191488916254</v>
      </c>
      <c r="I22" s="6">
        <f>DATA!BE50</f>
        <v>10762.507044462258</v>
      </c>
      <c r="J22" s="6">
        <f>DATA!BF50</f>
        <v>11023.525503080064</v>
      </c>
      <c r="K22" s="6">
        <f>DATA!BG50</f>
        <v>11295.844305299343</v>
      </c>
      <c r="L22" s="6">
        <f>DATA!BH50</f>
        <v>11580.096904971278</v>
      </c>
      <c r="M22" s="6">
        <f>DATA!BI50</f>
        <v>11876.95499040223</v>
      </c>
      <c r="N22" s="7">
        <f t="shared" si="4"/>
        <v>125399.87616568644</v>
      </c>
    </row>
    <row r="23" spans="1:14" x14ac:dyDescent="0.25">
      <c r="A23" t="str">
        <f>DATA!A52</f>
        <v>Office Supplies</v>
      </c>
      <c r="B23" s="6">
        <f>DATA!AX52</f>
        <v>2066.1259396300761</v>
      </c>
      <c r="C23" s="6">
        <f>DATA!AY52</f>
        <v>2128.1097178189784</v>
      </c>
      <c r="D23" s="6">
        <f>DATA!AZ52</f>
        <v>2191.9530093535477</v>
      </c>
      <c r="E23" s="6">
        <f>DATA!BA52</f>
        <v>2257.711599634154</v>
      </c>
      <c r="F23" s="6">
        <f>DATA!BB52</f>
        <v>2325.4429476231785</v>
      </c>
      <c r="G23" s="6">
        <f>DATA!BC52</f>
        <v>2395.2062360518739</v>
      </c>
      <c r="H23" s="6">
        <f>DATA!BD52</f>
        <v>2467.06242313343</v>
      </c>
      <c r="I23" s="6">
        <f>DATA!BE52</f>
        <v>2541.0742958274332</v>
      </c>
      <c r="J23" s="6">
        <f>DATA!BF52</f>
        <v>2617.3065247022564</v>
      </c>
      <c r="K23" s="6">
        <f>DATA!BG52</f>
        <v>2695.8257204433244</v>
      </c>
      <c r="L23" s="6">
        <f>DATA!BH52</f>
        <v>2776.7004920566242</v>
      </c>
      <c r="M23" s="6">
        <f>DATA!BI52</f>
        <v>2860.0015068183229</v>
      </c>
      <c r="N23" s="7">
        <f t="shared" si="4"/>
        <v>29322.520413093203</v>
      </c>
    </row>
    <row r="24" spans="1:14" x14ac:dyDescent="0.25">
      <c r="A24" t="str">
        <f>DATA!A54</f>
        <v>Meals/Gifts/Entertainment</v>
      </c>
      <c r="B24" s="6">
        <f>DATA!AX54</f>
        <v>6198.3778188902297</v>
      </c>
      <c r="C24" s="6">
        <f>DATA!AY54</f>
        <v>6384.3291534569371</v>
      </c>
      <c r="D24" s="6">
        <f>DATA!AZ54</f>
        <v>6575.859028060645</v>
      </c>
      <c r="E24" s="6">
        <f>DATA!BA54</f>
        <v>6773.1347989024644</v>
      </c>
      <c r="F24" s="6">
        <f>DATA!BB54</f>
        <v>6976.3288428695387</v>
      </c>
      <c r="G24" s="6">
        <f>DATA!BC54</f>
        <v>7185.6187081556254</v>
      </c>
      <c r="H24" s="6">
        <f>DATA!BD54</f>
        <v>7401.1872694002941</v>
      </c>
      <c r="I24" s="6">
        <f>DATA!BE54</f>
        <v>7623.2228874823031</v>
      </c>
      <c r="J24" s="6">
        <f>DATA!BF54</f>
        <v>7851.9195741067724</v>
      </c>
      <c r="K24" s="6">
        <f>DATA!BG54</f>
        <v>8087.4771613299754</v>
      </c>
      <c r="L24" s="6">
        <f>DATA!BH54</f>
        <v>8330.1014761698752</v>
      </c>
      <c r="M24" s="6">
        <f>DATA!BI54</f>
        <v>8580.0045204549715</v>
      </c>
      <c r="N24" s="7">
        <f t="shared" si="4"/>
        <v>87967.561239279647</v>
      </c>
    </row>
    <row r="25" spans="1:14" x14ac:dyDescent="0.25">
      <c r="A25" t="str">
        <f>DATA!A56</f>
        <v>Research and Development</v>
      </c>
      <c r="B25" s="6">
        <f>DATA!AX56</f>
        <v>153427.3014664237</v>
      </c>
      <c r="C25" s="6">
        <f>DATA!AY56</f>
        <v>156708.5724287779</v>
      </c>
      <c r="D25" s="6">
        <f>DATA!AZ56</f>
        <v>160119.27054430687</v>
      </c>
      <c r="E25" s="6">
        <f>DATA!BA56</f>
        <v>163666.41625960244</v>
      </c>
      <c r="F25" s="6">
        <f>DATA!BB56</f>
        <v>167357.44947209879</v>
      </c>
      <c r="G25" s="6">
        <f>DATA!BC56</f>
        <v>171200.25530470736</v>
      </c>
      <c r="H25" s="6">
        <f>DATA!BD56</f>
        <v>175203.19148193757</v>
      </c>
      <c r="I25" s="6">
        <f>DATA!BE56</f>
        <v>179375.1174077043</v>
      </c>
      <c r="J25" s="6">
        <f>DATA!BF56</f>
        <v>183725.4250513344</v>
      </c>
      <c r="K25" s="6">
        <f>DATA!BG56</f>
        <v>188264.07175498907</v>
      </c>
      <c r="L25" s="6">
        <f>DATA!BH56</f>
        <v>193001.61508285464</v>
      </c>
      <c r="M25" s="6">
        <f>DATA!BI56</f>
        <v>197949.24984003717</v>
      </c>
      <c r="N25" s="7">
        <f t="shared" si="4"/>
        <v>2089997.9360947739</v>
      </c>
    </row>
    <row r="26" spans="1:14" x14ac:dyDescent="0.25">
      <c r="A26" t="str">
        <f>DATA!A58</f>
        <v>Salaries and Wages</v>
      </c>
      <c r="B26" s="6">
        <f>DATA!AX58</f>
        <v>112133.33333333334</v>
      </c>
      <c r="C26" s="6">
        <f>DATA!AY58</f>
        <v>112133.33333333334</v>
      </c>
      <c r="D26" s="6">
        <f>DATA!AZ58</f>
        <v>112133.33333333334</v>
      </c>
      <c r="E26" s="6">
        <f>DATA!BA58</f>
        <v>112133.33333333334</v>
      </c>
      <c r="F26" s="6">
        <f>DATA!BB58</f>
        <v>112133.33333333334</v>
      </c>
      <c r="G26" s="6">
        <f>DATA!BC58</f>
        <v>112133.33333333334</v>
      </c>
      <c r="H26" s="6">
        <f>DATA!BD58</f>
        <v>112133.33333333334</v>
      </c>
      <c r="I26" s="6">
        <f>DATA!BE58</f>
        <v>112133.33333333334</v>
      </c>
      <c r="J26" s="6">
        <f>DATA!BF58</f>
        <v>112133.33333333334</v>
      </c>
      <c r="K26" s="6">
        <f>DATA!BG58</f>
        <v>112133.33333333334</v>
      </c>
      <c r="L26" s="6">
        <f>DATA!BH58</f>
        <v>112133.33333333334</v>
      </c>
      <c r="M26" s="6">
        <f>DATA!BI58</f>
        <v>112133.33333333334</v>
      </c>
      <c r="N26" s="7">
        <f t="shared" si="4"/>
        <v>1345600</v>
      </c>
    </row>
    <row r="27" spans="1:14" x14ac:dyDescent="0.25">
      <c r="A27" t="str">
        <f>DATA!A59</f>
        <v>Taxes and Licenses</v>
      </c>
      <c r="B27" s="6">
        <f>DATA!AX59</f>
        <v>1612.2260776824653</v>
      </c>
      <c r="C27" s="6">
        <f>DATA!AY59</f>
        <v>1628.3483384592901</v>
      </c>
      <c r="D27" s="6">
        <f>DATA!AZ59</f>
        <v>1644.631821843883</v>
      </c>
      <c r="E27" s="6">
        <f>DATA!BA59</f>
        <v>1661.0781400623218</v>
      </c>
      <c r="F27" s="6">
        <f>DATA!BB59</f>
        <v>1677.688921462945</v>
      </c>
      <c r="G27" s="6">
        <f>DATA!BC59</f>
        <v>1694.4658106775744</v>
      </c>
      <c r="H27" s="6">
        <f>DATA!BD59</f>
        <v>1711.4104687843501</v>
      </c>
      <c r="I27" s="6">
        <f>DATA!BE59</f>
        <v>1728.5245734721937</v>
      </c>
      <c r="J27" s="6">
        <f>DATA!BF59</f>
        <v>1745.8098192069156</v>
      </c>
      <c r="K27" s="6">
        <f>DATA!BG59</f>
        <v>1763.2679173989848</v>
      </c>
      <c r="L27" s="6">
        <f>DATA!BH59</f>
        <v>1780.9005965729746</v>
      </c>
      <c r="M27" s="6">
        <f>DATA!BI59</f>
        <v>1798.7096025387043</v>
      </c>
      <c r="N27" s="7">
        <f t="shared" si="4"/>
        <v>20447.062088162602</v>
      </c>
    </row>
    <row r="28" spans="1:14" x14ac:dyDescent="0.25">
      <c r="A28" t="str">
        <f>DATA!A61</f>
        <v>Telephone &amp; Internet</v>
      </c>
      <c r="B28" s="6">
        <f>DATA!AX61</f>
        <v>806.11303884123265</v>
      </c>
      <c r="C28" s="6">
        <f>DATA!AY61</f>
        <v>814.17416922964503</v>
      </c>
      <c r="D28" s="6">
        <f>DATA!AZ61</f>
        <v>822.31591092194151</v>
      </c>
      <c r="E28" s="6">
        <f>DATA!BA61</f>
        <v>830.53907003116092</v>
      </c>
      <c r="F28" s="6">
        <f>DATA!BB61</f>
        <v>838.84446073147251</v>
      </c>
      <c r="G28" s="6">
        <f>DATA!BC61</f>
        <v>847.23290533878719</v>
      </c>
      <c r="H28" s="6">
        <f>DATA!BD61</f>
        <v>855.70523439217504</v>
      </c>
      <c r="I28" s="6">
        <f>DATA!BE61</f>
        <v>864.26228673609683</v>
      </c>
      <c r="J28" s="6">
        <f>DATA!BF61</f>
        <v>872.90490960345778</v>
      </c>
      <c r="K28" s="6">
        <f>DATA!BG61</f>
        <v>881.63395869949238</v>
      </c>
      <c r="L28" s="6">
        <f>DATA!BH61</f>
        <v>890.45029828648728</v>
      </c>
      <c r="M28" s="6">
        <f>DATA!BI61</f>
        <v>899.35480126935215</v>
      </c>
      <c r="N28" s="7">
        <f t="shared" si="4"/>
        <v>10223.531044081301</v>
      </c>
    </row>
    <row r="29" spans="1:14" x14ac:dyDescent="0.25">
      <c r="A29" t="s">
        <v>72</v>
      </c>
      <c r="B29" s="6">
        <f>LoanModule!D57</f>
        <v>3106.4918313432186</v>
      </c>
      <c r="C29" s="6">
        <f>LoanModule!D58</f>
        <v>3086.7592454337214</v>
      </c>
      <c r="D29" s="6">
        <f>LoanModule!D59</f>
        <v>3066.8951089514935</v>
      </c>
      <c r="E29" s="6">
        <f>LoanModule!D60</f>
        <v>3046.8985448927178</v>
      </c>
      <c r="F29" s="6">
        <f>LoanModule!D61</f>
        <v>3026.7686704068838</v>
      </c>
      <c r="G29" s="6">
        <f>LoanModule!D62</f>
        <v>3006.5045967578103</v>
      </c>
      <c r="H29" s="6">
        <f>LoanModule!D63</f>
        <v>2986.1054292844096</v>
      </c>
      <c r="I29" s="6">
        <f>LoanModule!D64</f>
        <v>2965.5702673611872</v>
      </c>
      <c r="J29" s="6">
        <f>LoanModule!D65</f>
        <v>2944.8982043584765</v>
      </c>
      <c r="K29" s="6">
        <f>LoanModule!D66</f>
        <v>2924.0883276024142</v>
      </c>
      <c r="L29" s="6">
        <f>LoanModule!D67</f>
        <v>2903.1397183346439</v>
      </c>
      <c r="M29" s="6">
        <f>LoanModule!D68</f>
        <v>2882.0514516717558</v>
      </c>
      <c r="N29" s="7">
        <f t="shared" si="4"/>
        <v>35946.171396398728</v>
      </c>
    </row>
    <row r="30" spans="1:14" x14ac:dyDescent="0.25">
      <c r="A30" t="s">
        <v>73</v>
      </c>
      <c r="B30" s="6">
        <f>DATA!$B$74*DATA!AX79</f>
        <v>0</v>
      </c>
      <c r="C30" s="6">
        <f>DATA!$B$74*DATA!AY79</f>
        <v>0</v>
      </c>
      <c r="D30" s="6">
        <f>DATA!$B$74*DATA!AZ79</f>
        <v>0</v>
      </c>
      <c r="E30" s="6">
        <f>DATA!$B$74*DATA!BA79</f>
        <v>0</v>
      </c>
      <c r="F30" s="6">
        <f>DATA!$B$74*DATA!BB79</f>
        <v>0</v>
      </c>
      <c r="G30" s="6">
        <f>DATA!$B$74*DATA!BC79</f>
        <v>0</v>
      </c>
      <c r="H30" s="6">
        <f>DATA!$B$74*DATA!BD79</f>
        <v>0</v>
      </c>
      <c r="I30" s="6">
        <f>DATA!$B$74*DATA!BE79</f>
        <v>0</v>
      </c>
      <c r="J30" s="6">
        <f>DATA!$B$74*DATA!BF79</f>
        <v>0</v>
      </c>
      <c r="K30" s="6">
        <f>DATA!$B$74*DATA!BG79</f>
        <v>0</v>
      </c>
      <c r="L30" s="6">
        <f>DATA!$B$74*DATA!BH79</f>
        <v>0</v>
      </c>
      <c r="M30" s="6">
        <f>DATA!$B$74*DATA!BI79</f>
        <v>0</v>
      </c>
      <c r="N30" s="7">
        <f t="shared" si="4"/>
        <v>0</v>
      </c>
    </row>
    <row r="31" spans="1:14" x14ac:dyDescent="0.25">
      <c r="A31" t="s">
        <v>74</v>
      </c>
      <c r="B31" s="6">
        <f>DATA!AX83</f>
        <v>1785.7142857142856</v>
      </c>
      <c r="C31" s="6">
        <f>DATA!AY83</f>
        <v>1785.7142857142856</v>
      </c>
      <c r="D31" s="6">
        <f>DATA!AZ83</f>
        <v>1785.7142857142856</v>
      </c>
      <c r="E31" s="6">
        <f>DATA!BA83</f>
        <v>1785.7142857142856</v>
      </c>
      <c r="F31" s="6">
        <f>DATA!BB83</f>
        <v>1785.7142857142856</v>
      </c>
      <c r="G31" s="6">
        <f>DATA!BC83</f>
        <v>1785.7142857142856</v>
      </c>
      <c r="H31" s="6">
        <f>DATA!BD83</f>
        <v>1785.7142857142856</v>
      </c>
      <c r="I31" s="6">
        <f>DATA!BE83</f>
        <v>1785.7142857142856</v>
      </c>
      <c r="J31" s="6">
        <f>DATA!BF83</f>
        <v>1785.7142857142856</v>
      </c>
      <c r="K31" s="6">
        <f>DATA!BG83</f>
        <v>1785.7142857142856</v>
      </c>
      <c r="L31" s="6">
        <f>DATA!BH83</f>
        <v>1785.7142857142856</v>
      </c>
      <c r="M31" s="6">
        <f>DATA!BI83</f>
        <v>1785.7142857142856</v>
      </c>
      <c r="N31" s="7">
        <f t="shared" si="4"/>
        <v>21428.571428571431</v>
      </c>
    </row>
    <row r="32" spans="1:14" x14ac:dyDescent="0.25">
      <c r="A32" s="4" t="s">
        <v>75</v>
      </c>
      <c r="B32" s="8">
        <f t="shared" ref="B32:M32" si="5">SUM(B18:B31)</f>
        <v>521253.37839047919</v>
      </c>
      <c r="C32" s="8">
        <f t="shared" si="5"/>
        <v>529701.35924098152</v>
      </c>
      <c r="D32" s="8">
        <f t="shared" si="5"/>
        <v>538475.54976423073</v>
      </c>
      <c r="E32" s="8">
        <f t="shared" si="5"/>
        <v>547593.39038542099</v>
      </c>
      <c r="F32" s="8">
        <f t="shared" si="5"/>
        <v>557073.35605337669</v>
      </c>
      <c r="G32" s="8">
        <f t="shared" si="5"/>
        <v>566935.01959100121</v>
      </c>
      <c r="H32" s="8">
        <f t="shared" si="5"/>
        <v>577199.11897541257</v>
      </c>
      <c r="I32" s="8">
        <f t="shared" si="5"/>
        <v>587887.62879343191</v>
      </c>
      <c r="J32" s="8">
        <f t="shared" si="5"/>
        <v>599023.83613357053</v>
      </c>
      <c r="K32" s="8">
        <f t="shared" si="5"/>
        <v>610632.42119208851</v>
      </c>
      <c r="L32" s="8">
        <f t="shared" si="5"/>
        <v>622739.54288818419</v>
      </c>
      <c r="M32" s="8">
        <f t="shared" si="5"/>
        <v>635372.92980196106</v>
      </c>
      <c r="N32" s="8">
        <f t="shared" si="4"/>
        <v>6893887.5312101385</v>
      </c>
    </row>
    <row r="34" spans="1:14" x14ac:dyDescent="0.25">
      <c r="A34" s="4" t="s">
        <v>76</v>
      </c>
      <c r="B34" s="10">
        <f t="shared" ref="B34:M34" si="6">B14-B32</f>
        <v>425217.31379495788</v>
      </c>
      <c r="C34" s="10">
        <f t="shared" si="6"/>
        <v>437810.51463255985</v>
      </c>
      <c r="D34" s="10">
        <f t="shared" si="6"/>
        <v>450916.57566637313</v>
      </c>
      <c r="E34" s="10">
        <f t="shared" si="6"/>
        <v>464563.97582686529</v>
      </c>
      <c r="F34" s="10">
        <f t="shared" si="6"/>
        <v>478782.94093666715</v>
      </c>
      <c r="G34" s="10">
        <f t="shared" si="6"/>
        <v>493605.55409840134</v>
      </c>
      <c r="H34" s="10">
        <f t="shared" si="6"/>
        <v>509065.87314071227</v>
      </c>
      <c r="I34" s="10">
        <f t="shared" si="6"/>
        <v>525200.05557715194</v>
      </c>
      <c r="J34" s="10">
        <f t="shared" si="6"/>
        <v>542046.49156201922</v>
      </c>
      <c r="K34" s="10">
        <f t="shared" si="6"/>
        <v>559645.94535867043</v>
      </c>
      <c r="L34" s="10">
        <f t="shared" si="6"/>
        <v>578041.70586925617</v>
      </c>
      <c r="M34" s="10">
        <f t="shared" si="6"/>
        <v>597279.74681046477</v>
      </c>
      <c r="N34" s="10">
        <f>SUM(B34:M34)</f>
        <v>6062176.6932741003</v>
      </c>
    </row>
    <row r="36" spans="1:14" x14ac:dyDescent="0.25">
      <c r="A36" t="s">
        <v>77</v>
      </c>
      <c r="B36" s="6">
        <f>N36/12</f>
        <v>75777.208665926257</v>
      </c>
      <c r="C36" s="6">
        <f>N36/12</f>
        <v>75777.208665926257</v>
      </c>
      <c r="D36" s="6">
        <f>N36/12</f>
        <v>75777.208665926257</v>
      </c>
      <c r="E36" s="6">
        <f>N36/12</f>
        <v>75777.208665926257</v>
      </c>
      <c r="F36" s="6">
        <f>N36/12</f>
        <v>75777.208665926257</v>
      </c>
      <c r="G36" s="6">
        <f>N36/12</f>
        <v>75777.208665926257</v>
      </c>
      <c r="H36" s="6">
        <f>N36/12</f>
        <v>75777.208665926257</v>
      </c>
      <c r="I36" s="6">
        <f>N36/12</f>
        <v>75777.208665926257</v>
      </c>
      <c r="J36" s="6">
        <f>N36/12</f>
        <v>75777.208665926257</v>
      </c>
      <c r="K36" s="6">
        <f>N36/12</f>
        <v>75777.208665926257</v>
      </c>
      <c r="L36" s="6">
        <f>N36/12</f>
        <v>75777.208665926257</v>
      </c>
      <c r="M36" s="6">
        <f>N36/12</f>
        <v>75777.208665926257</v>
      </c>
      <c r="N36" s="7">
        <f>IF(N34&lt;=0,0,N34*DATA!B75)</f>
        <v>909326.50399111502</v>
      </c>
    </row>
    <row r="38" spans="1:14" x14ac:dyDescent="0.25">
      <c r="A38" s="4" t="s">
        <v>78</v>
      </c>
      <c r="B38" s="9">
        <f t="shared" ref="B38:M38" si="7">B34-B36</f>
        <v>349440.10512903164</v>
      </c>
      <c r="C38" s="9">
        <f t="shared" si="7"/>
        <v>362033.3059666336</v>
      </c>
      <c r="D38" s="9">
        <f t="shared" si="7"/>
        <v>375139.36700044689</v>
      </c>
      <c r="E38" s="9">
        <f t="shared" si="7"/>
        <v>388786.76716093905</v>
      </c>
      <c r="F38" s="9">
        <f t="shared" si="7"/>
        <v>403005.7322707409</v>
      </c>
      <c r="G38" s="9">
        <f t="shared" si="7"/>
        <v>417828.34543247509</v>
      </c>
      <c r="H38" s="9">
        <f t="shared" si="7"/>
        <v>433288.66447478603</v>
      </c>
      <c r="I38" s="9">
        <f t="shared" si="7"/>
        <v>449422.8469112257</v>
      </c>
      <c r="J38" s="9">
        <f t="shared" si="7"/>
        <v>466269.28289609298</v>
      </c>
      <c r="K38" s="9">
        <f t="shared" si="7"/>
        <v>483868.73669274419</v>
      </c>
      <c r="L38" s="9">
        <f t="shared" si="7"/>
        <v>502264.49720332993</v>
      </c>
      <c r="M38" s="9">
        <f t="shared" si="7"/>
        <v>521502.53814453853</v>
      </c>
      <c r="N38" s="9">
        <f>SUM(B38:M38)</f>
        <v>5152850.1892829835</v>
      </c>
    </row>
    <row r="43" spans="1:14" x14ac:dyDescent="0.25">
      <c r="A43" t="s">
        <v>79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opLeftCell="A19" workbookViewId="0">
      <selection activeCell="G38" sqref="G38"/>
    </sheetView>
  </sheetViews>
  <sheetFormatPr defaultColWidth="8.85546875" defaultRowHeight="15" x14ac:dyDescent="0.25"/>
  <cols>
    <col min="1" max="1" width="32.28515625" bestFit="1" customWidth="1"/>
    <col min="2" max="14" width="11.7109375" bestFit="1" customWidth="1"/>
    <col min="15" max="15" width="11.85546875" bestFit="1" customWidth="1"/>
  </cols>
  <sheetData>
    <row r="1" spans="1:15" x14ac:dyDescent="0.25">
      <c r="A1" t="str">
        <f>DATA!B1</f>
        <v>Example Manufacturing Company</v>
      </c>
    </row>
    <row r="2" spans="1:15" x14ac:dyDescent="0.25">
      <c r="A2" t="s">
        <v>82</v>
      </c>
    </row>
    <row r="3" spans="1:15" x14ac:dyDescent="0.25">
      <c r="A3" t="s">
        <v>64</v>
      </c>
    </row>
    <row r="5" spans="1:15" x14ac:dyDescent="0.25">
      <c r="B5">
        <v>0</v>
      </c>
      <c r="C5">
        <v>1</v>
      </c>
      <c r="D5">
        <v>2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11</v>
      </c>
      <c r="N5">
        <v>12</v>
      </c>
      <c r="O5" s="4" t="s">
        <v>64</v>
      </c>
    </row>
    <row r="7" spans="1:15" x14ac:dyDescent="0.25">
      <c r="A7" s="4" t="s">
        <v>83</v>
      </c>
      <c r="B7" s="6">
        <f>0</f>
        <v>0</v>
      </c>
      <c r="C7" s="6">
        <f>StartupCosts!B2</f>
        <v>90000</v>
      </c>
      <c r="D7" s="6">
        <f t="shared" ref="D7:N7" si="0">C7+C38</f>
        <v>3335502.7611341868</v>
      </c>
      <c r="E7" s="6">
        <f t="shared" si="0"/>
        <v>3242268.4975183732</v>
      </c>
      <c r="F7" s="6">
        <f t="shared" si="0"/>
        <v>3131708.1598035353</v>
      </c>
      <c r="G7" s="6">
        <f t="shared" si="0"/>
        <v>3827571.6397309662</v>
      </c>
      <c r="H7" s="6">
        <f t="shared" si="0"/>
        <v>4273466.9725487055</v>
      </c>
      <c r="I7" s="6">
        <f t="shared" si="0"/>
        <v>3749889.8067625542</v>
      </c>
      <c r="J7" s="6">
        <f t="shared" si="0"/>
        <v>4211618.7964268932</v>
      </c>
      <c r="K7" s="6">
        <f t="shared" si="0"/>
        <v>4678847.1018039417</v>
      </c>
      <c r="L7" s="6">
        <f t="shared" si="0"/>
        <v>4177182.7053734791</v>
      </c>
      <c r="M7" s="6">
        <f t="shared" si="0"/>
        <v>4666832.0800073585</v>
      </c>
      <c r="N7" s="6">
        <f t="shared" si="0"/>
        <v>5168008.8771415176</v>
      </c>
      <c r="O7" s="7">
        <f>N7</f>
        <v>5168008.8771415176</v>
      </c>
    </row>
    <row r="9" spans="1:15" x14ac:dyDescent="0.25">
      <c r="A9" s="4" t="s">
        <v>84</v>
      </c>
    </row>
    <row r="10" spans="1:15" x14ac:dyDescent="0.25">
      <c r="A10" t="s">
        <v>31</v>
      </c>
      <c r="B10" s="6">
        <v>0</v>
      </c>
      <c r="C10" s="6">
        <f>DATA!B85</f>
        <v>0</v>
      </c>
      <c r="D10" s="6">
        <f>DATA!C85</f>
        <v>0</v>
      </c>
      <c r="E10" s="6">
        <f>DATA!D85</f>
        <v>0</v>
      </c>
      <c r="F10" s="6">
        <f>DATA!E85</f>
        <v>756420.07840485335</v>
      </c>
      <c r="G10" s="6">
        <f>DATA!F85</f>
        <v>766044.39537458599</v>
      </c>
      <c r="H10" s="6">
        <f>DATA!G85</f>
        <v>775849.20411156677</v>
      </c>
      <c r="I10" s="6">
        <f>DATA!H85</f>
        <v>785840.58798750117</v>
      </c>
      <c r="J10" s="6">
        <f>DATA!I85</f>
        <v>796024.93492217374</v>
      </c>
      <c r="K10" s="6">
        <f>DATA!J85</f>
        <v>806408.95501284103</v>
      </c>
      <c r="L10" s="6">
        <f>DATA!K85</f>
        <v>816999.69923071284</v>
      </c>
      <c r="M10" s="6">
        <f>DATA!L85</f>
        <v>827804.57925013825</v>
      </c>
      <c r="N10" s="6">
        <f>DATA!M85</f>
        <v>838831.38848018786</v>
      </c>
      <c r="O10" s="7">
        <f>SUM(B10:N10)</f>
        <v>7170223.8227745611</v>
      </c>
    </row>
    <row r="11" spans="1:15" x14ac:dyDescent="0.25">
      <c r="A11" t="s">
        <v>58</v>
      </c>
      <c r="B11" s="6">
        <f>0</f>
        <v>0</v>
      </c>
      <c r="C11" s="57">
        <f>IF(B5+1=LoanModule!$C$5,LoanModule!$C$2,0)</f>
        <v>0</v>
      </c>
      <c r="D11" s="57">
        <f>IF(C5+1=LoanModule!$C$5,LoanModule!$C$2,0)</f>
        <v>0</v>
      </c>
      <c r="E11" s="57">
        <f>IF(D5+1=LoanModule!$C$5,LoanModule!$C$2,0)</f>
        <v>0</v>
      </c>
      <c r="F11" s="57">
        <f>IF(E5+1=LoanModule!$C$5,LoanModule!$C$2,0)</f>
        <v>0</v>
      </c>
      <c r="G11" s="57">
        <f>IF(F5+1=LoanModule!$C$5,LoanModule!$C$2,0)</f>
        <v>0</v>
      </c>
      <c r="H11" s="57">
        <f>IF(G5+1=LoanModule!$C$5,LoanModule!$C$2,0)</f>
        <v>0</v>
      </c>
      <c r="I11" s="57">
        <f>IF(H5+1=LoanModule!$C$5,LoanModule!$C$2,0)</f>
        <v>0</v>
      </c>
      <c r="J11" s="57">
        <f>IF(I5+1=LoanModule!$C$5,LoanModule!$C$2,0)</f>
        <v>0</v>
      </c>
      <c r="K11" s="57">
        <f>IF(J5+1=LoanModule!$C$5,LoanModule!$C$2,0)</f>
        <v>0</v>
      </c>
      <c r="L11" s="57">
        <f>IF(K5+1=LoanModule!$C$5,LoanModule!$C$2,0)</f>
        <v>0</v>
      </c>
      <c r="M11" s="57">
        <f>IF(L5+1=LoanModule!$C$5,LoanModule!$C$2,0)</f>
        <v>0</v>
      </c>
      <c r="N11" s="57">
        <f>IF(M5+1=LoanModule!$C$5,LoanModule!$C$2,0)</f>
        <v>0</v>
      </c>
      <c r="O11" s="7">
        <f>SUM(B11:N11)</f>
        <v>0</v>
      </c>
    </row>
    <row r="12" spans="1:15" x14ac:dyDescent="0.25">
      <c r="A12" s="59" t="s">
        <v>208</v>
      </c>
      <c r="B12" s="6">
        <v>0</v>
      </c>
      <c r="C12" s="57">
        <f>DATA!B94</f>
        <v>4500000</v>
      </c>
      <c r="D12" s="57">
        <f>DATA!C94</f>
        <v>0</v>
      </c>
      <c r="E12" s="57">
        <f>DATA!D94</f>
        <v>0</v>
      </c>
      <c r="F12" s="57">
        <f>DATA!E94</f>
        <v>0</v>
      </c>
      <c r="G12" s="57">
        <f>DATA!F94</f>
        <v>0</v>
      </c>
      <c r="H12" s="57">
        <f>DATA!G94</f>
        <v>0</v>
      </c>
      <c r="I12" s="57">
        <f>DATA!H94</f>
        <v>0</v>
      </c>
      <c r="J12" s="57">
        <f>DATA!I94</f>
        <v>0</v>
      </c>
      <c r="K12" s="57">
        <f>DATA!J94</f>
        <v>0</v>
      </c>
      <c r="L12" s="57">
        <f>DATA!K94</f>
        <v>0</v>
      </c>
      <c r="M12" s="57">
        <f>DATA!L94</f>
        <v>0</v>
      </c>
      <c r="N12" s="57">
        <f>DATA!M94</f>
        <v>0</v>
      </c>
      <c r="O12" s="7">
        <f>SUM(B12:N12)</f>
        <v>4500000</v>
      </c>
    </row>
    <row r="13" spans="1:15" x14ac:dyDescent="0.25">
      <c r="A13" s="4" t="s">
        <v>85</v>
      </c>
      <c r="B13" s="9">
        <f>SUM(B10:B12)</f>
        <v>0</v>
      </c>
      <c r="C13" s="9">
        <f t="shared" ref="C13:O13" si="1">SUM(C10:C12)</f>
        <v>4500000</v>
      </c>
      <c r="D13" s="9">
        <f t="shared" si="1"/>
        <v>0</v>
      </c>
      <c r="E13" s="9">
        <f t="shared" si="1"/>
        <v>0</v>
      </c>
      <c r="F13" s="9">
        <f t="shared" si="1"/>
        <v>756420.07840485335</v>
      </c>
      <c r="G13" s="9">
        <f t="shared" si="1"/>
        <v>766044.39537458599</v>
      </c>
      <c r="H13" s="9">
        <f t="shared" si="1"/>
        <v>775849.20411156677</v>
      </c>
      <c r="I13" s="9">
        <f t="shared" si="1"/>
        <v>785840.58798750117</v>
      </c>
      <c r="J13" s="9">
        <f t="shared" si="1"/>
        <v>796024.93492217374</v>
      </c>
      <c r="K13" s="9">
        <f t="shared" si="1"/>
        <v>806408.95501284103</v>
      </c>
      <c r="L13" s="9">
        <f t="shared" si="1"/>
        <v>816999.69923071284</v>
      </c>
      <c r="M13" s="9">
        <f t="shared" si="1"/>
        <v>827804.57925013825</v>
      </c>
      <c r="N13" s="9">
        <f t="shared" si="1"/>
        <v>838831.38848018786</v>
      </c>
      <c r="O13" s="9">
        <f t="shared" si="1"/>
        <v>11670223.822774561</v>
      </c>
    </row>
    <row r="15" spans="1:15" x14ac:dyDescent="0.25">
      <c r="A15" s="4" t="s">
        <v>86</v>
      </c>
    </row>
    <row r="16" spans="1:15" x14ac:dyDescent="0.25">
      <c r="A16" t="s">
        <v>87</v>
      </c>
      <c r="B16" s="6">
        <v>0</v>
      </c>
      <c r="C16" s="6">
        <f>DATA!B80/2</f>
        <v>0</v>
      </c>
      <c r="D16" s="6">
        <f>(DATA!B80/2)+(DATA!C80/2)</f>
        <v>0</v>
      </c>
      <c r="E16" s="6">
        <f>(DATA!C80/2)+(DATA!D80/2)</f>
        <v>0</v>
      </c>
      <c r="F16" s="6">
        <f>(DATA!D80/2)+(DATA!E80/2)</f>
        <v>157313.3621927489</v>
      </c>
      <c r="G16" s="6">
        <f>(DATA!E80/2)+(DATA!F80/2)</f>
        <v>315020.91869621264</v>
      </c>
      <c r="H16" s="6">
        <f>(DATA!F80/2)+(DATA!G80/2)</f>
        <v>315822.28747051314</v>
      </c>
      <c r="I16" s="6">
        <f>(DATA!G80/2)+(DATA!H80/2)</f>
        <v>316650.17704539502</v>
      </c>
      <c r="J16" s="6">
        <f>(DATA!H80/2)+(DATA!I80/2)</f>
        <v>317505.73535625509</v>
      </c>
      <c r="K16" s="6">
        <f>(DATA!I80/2)+(DATA!J80/2)</f>
        <v>318390.16556757269</v>
      </c>
      <c r="L16" s="6">
        <f>(DATA!J80/2)+(DATA!K80/2)</f>
        <v>319304.72881539818</v>
      </c>
      <c r="M16" s="6">
        <f>(DATA!K80/2)+(DATA!L80/2)</f>
        <v>320250.74708762334</v>
      </c>
      <c r="N16" s="6">
        <f>(DATA!L80/2)+(DATA!M80/2)</f>
        <v>321229.6062490053</v>
      </c>
      <c r="O16" s="7">
        <f t="shared" ref="O16:O36" si="2">SUM(B16:N16)</f>
        <v>2701487.7284807246</v>
      </c>
    </row>
    <row r="17" spans="1:15" x14ac:dyDescent="0.25">
      <c r="A17" t="s">
        <v>88</v>
      </c>
      <c r="B17" s="6">
        <v>0</v>
      </c>
      <c r="C17" s="6">
        <f>DATA!B81/2</f>
        <v>0</v>
      </c>
      <c r="D17" s="6">
        <f>(DATA!B81/2)+(DATA!C81/2)</f>
        <v>0</v>
      </c>
      <c r="E17" s="6">
        <f>(DATA!C81/2)+(DATA!D81/2)</f>
        <v>0</v>
      </c>
      <c r="F17" s="6">
        <f>(DATA!D81/2)+(DATA!E81/2)</f>
        <v>8290.0923193105573</v>
      </c>
      <c r="G17" s="6">
        <f>(DATA!E81/2)+(DATA!F81/2)</f>
        <v>16600.695112072735</v>
      </c>
      <c r="H17" s="6">
        <f>(DATA!F81/2)+(DATA!G81/2)</f>
        <v>16642.374904338503</v>
      </c>
      <c r="I17" s="6">
        <f>(DATA!G81/2)+(DATA!H81/2)</f>
        <v>16685.401383609784</v>
      </c>
      <c r="J17" s="6">
        <f>(DATA!H81/2)+(DATA!I81/2)</f>
        <v>16729.833962392488</v>
      </c>
      <c r="K17" s="6">
        <f>(DATA!I81/2)+(DATA!J81/2)</f>
        <v>16775.734964488631</v>
      </c>
      <c r="L17" s="6">
        <f>(DATA!J81/2)+(DATA!K81/2)</f>
        <v>16823.169771429315</v>
      </c>
      <c r="M17" s="6">
        <f>(DATA!K81/2)+(DATA!L81/2)</f>
        <v>16872.206976333378</v>
      </c>
      <c r="N17" s="6">
        <f>(DATA!L81/2)+(DATA!M81/2)</f>
        <v>16922.918545570028</v>
      </c>
      <c r="O17" s="7">
        <f t="shared" si="2"/>
        <v>142342.42793954539</v>
      </c>
    </row>
    <row r="18" spans="1:15" x14ac:dyDescent="0.25">
      <c r="A18" t="str">
        <f>IncomeStatement_Year5!A18</f>
        <v>Professional, Accounting and Legal</v>
      </c>
      <c r="B18" s="6">
        <v>0</v>
      </c>
      <c r="C18" s="6">
        <f>DATA!B43/2</f>
        <v>500</v>
      </c>
      <c r="D18" s="6">
        <f>(DATA!B43/2)+(DATA!C43/2)</f>
        <v>1000</v>
      </c>
      <c r="E18" s="6">
        <f>(DATA!C43/2)+(DATA!D43/2)</f>
        <v>1000</v>
      </c>
      <c r="F18" s="6">
        <f>(DATA!D43/2)+(DATA!E43/2)</f>
        <v>14237.351372084935</v>
      </c>
      <c r="G18" s="6">
        <f>(DATA!E43/2)+(DATA!F43/2)</f>
        <v>27643.12829114019</v>
      </c>
      <c r="H18" s="6">
        <f>(DATA!F43/2)+(DATA!G43/2)</f>
        <v>27983.137991007676</v>
      </c>
      <c r="I18" s="6">
        <f>(DATA!G43/2)+(DATA!H43/2)</f>
        <v>28329.571361733691</v>
      </c>
      <c r="J18" s="6">
        <f>(DATA!H43/2)+(DATA!I43/2)</f>
        <v>28682.646650919312</v>
      </c>
      <c r="K18" s="6">
        <f>(DATA!I43/2)+(DATA!J43/2)</f>
        <v>29042.593073862761</v>
      </c>
      <c r="L18" s="6">
        <f>(DATA!J43/2)+(DATA!K43/2)</f>
        <v>29409.651449262194</v>
      </c>
      <c r="M18" s="6">
        <f>(DATA!K43/2)+(DATA!L43/2)</f>
        <v>29784.074873414895</v>
      </c>
      <c r="N18" s="6">
        <f>(DATA!L43/2)+(DATA!M43/2)</f>
        <v>30166.129435280709</v>
      </c>
      <c r="O18" s="7">
        <f t="shared" si="2"/>
        <v>247778.28449870637</v>
      </c>
    </row>
    <row r="19" spans="1:15" x14ac:dyDescent="0.25">
      <c r="A19" t="str">
        <f>IncomeStatement_Year5!A19</f>
        <v>Marketing &amp; Advertising</v>
      </c>
      <c r="B19" s="6">
        <v>0</v>
      </c>
      <c r="C19" s="6">
        <f>DATA!B45/2</f>
        <v>0</v>
      </c>
      <c r="D19" s="6">
        <f>(DATA!B45/2)+(DATA!C45/2)</f>
        <v>0</v>
      </c>
      <c r="E19" s="6">
        <f>(DATA!C45/2)+(DATA!D45/2)</f>
        <v>0</v>
      </c>
      <c r="F19" s="6">
        <f>(DATA!D45/2)+(DATA!E45/2)</f>
        <v>5000</v>
      </c>
      <c r="G19" s="6">
        <f>(DATA!E45/2)+(DATA!F45/2)</f>
        <v>10050</v>
      </c>
      <c r="H19" s="6">
        <f>(DATA!F45/2)+(DATA!G45/2)</f>
        <v>10150.5</v>
      </c>
      <c r="I19" s="6">
        <f>(DATA!G45/2)+(DATA!H45/2)</f>
        <v>10252.005000000001</v>
      </c>
      <c r="J19" s="6">
        <f>(DATA!H45/2)+(DATA!I45/2)</f>
        <v>10354.52505</v>
      </c>
      <c r="K19" s="6">
        <f>(DATA!I45/2)+(DATA!J45/2)</f>
        <v>10458.0703005</v>
      </c>
      <c r="L19" s="6">
        <f>(DATA!J45/2)+(DATA!K45/2)</f>
        <v>10562.651003505001</v>
      </c>
      <c r="M19" s="6">
        <f>(DATA!K45/2)+(DATA!L45/2)</f>
        <v>10668.277513540052</v>
      </c>
      <c r="N19" s="6">
        <f>(DATA!L45/2)+(DATA!M45/2)</f>
        <v>10774.960288675451</v>
      </c>
      <c r="O19" s="7">
        <f t="shared" si="2"/>
        <v>88270.989156220487</v>
      </c>
    </row>
    <row r="20" spans="1:15" x14ac:dyDescent="0.25">
      <c r="A20" t="str">
        <f>IncomeStatement_Year5!A20</f>
        <v>Contingency Expense</v>
      </c>
      <c r="B20" s="6">
        <v>0</v>
      </c>
      <c r="C20" s="6">
        <f>DATA!B46/2</f>
        <v>0</v>
      </c>
      <c r="D20" s="6">
        <f>(DATA!B46/2)+(DATA!C46/2)</f>
        <v>0</v>
      </c>
      <c r="E20" s="6">
        <f>(DATA!C46/2)+(DATA!D46/2)</f>
        <v>0</v>
      </c>
      <c r="F20" s="6">
        <f>(DATA!D46/2)+(DATA!E46/2)</f>
        <v>37821.003920242671</v>
      </c>
      <c r="G20" s="6">
        <f>(DATA!E46/2)+(DATA!F46/2)</f>
        <v>76123.223688971979</v>
      </c>
      <c r="H20" s="6">
        <f>(DATA!F46/2)+(DATA!G46/2)</f>
        <v>77094.679974307641</v>
      </c>
      <c r="I20" s="6">
        <f>(DATA!G46/2)+(DATA!H46/2)</f>
        <v>78084.4896049534</v>
      </c>
      <c r="J20" s="6">
        <f>(DATA!H46/2)+(DATA!I46/2)</f>
        <v>79093.276145483745</v>
      </c>
      <c r="K20" s="6">
        <f>(DATA!I46/2)+(DATA!J46/2)</f>
        <v>80121.694496750744</v>
      </c>
      <c r="L20" s="6">
        <f>(DATA!J46/2)+(DATA!K46/2)</f>
        <v>81170.432712177688</v>
      </c>
      <c r="M20" s="6">
        <f>(DATA!K46/2)+(DATA!L46/2)</f>
        <v>82240.21392404256</v>
      </c>
      <c r="N20" s="6">
        <f>(DATA!L46/2)+(DATA!M46/2)</f>
        <v>83331.798386516311</v>
      </c>
      <c r="O20" s="7">
        <f t="shared" si="2"/>
        <v>675080.8128534467</v>
      </c>
    </row>
    <row r="21" spans="1:15" x14ac:dyDescent="0.25">
      <c r="A21" t="str">
        <f>IncomeStatement_Year5!A21</f>
        <v>Business Insurance</v>
      </c>
      <c r="B21" s="6">
        <v>0</v>
      </c>
      <c r="C21" s="6">
        <f>DATA!B48/2</f>
        <v>500</v>
      </c>
      <c r="D21" s="6">
        <f>(DATA!B48/2)+(DATA!C48/2)</f>
        <v>1000</v>
      </c>
      <c r="E21" s="6">
        <f>(DATA!C48/2)+(DATA!D48/2)</f>
        <v>1000</v>
      </c>
      <c r="F21" s="6">
        <f>(DATA!D48/2)+(DATA!E48/2)</f>
        <v>2512.840156809707</v>
      </c>
      <c r="G21" s="6">
        <f>(DATA!E48/2)+(DATA!F48/2)</f>
        <v>4044.9289475588785</v>
      </c>
      <c r="H21" s="6">
        <f>(DATA!F48/2)+(DATA!G48/2)</f>
        <v>4083.7871989723058</v>
      </c>
      <c r="I21" s="6">
        <f>(DATA!G48/2)+(DATA!H48/2)</f>
        <v>4123.3795841981364</v>
      </c>
      <c r="J21" s="6">
        <f>(DATA!H48/2)+(DATA!I48/2)</f>
        <v>4163.7310458193497</v>
      </c>
      <c r="K21" s="6">
        <f>(DATA!I48/2)+(DATA!J48/2)</f>
        <v>4204.8677798700301</v>
      </c>
      <c r="L21" s="6">
        <f>(DATA!J48/2)+(DATA!K48/2)</f>
        <v>4246.8173084871078</v>
      </c>
      <c r="M21" s="6">
        <f>(DATA!K48/2)+(DATA!L48/2)</f>
        <v>4289.6085569617026</v>
      </c>
      <c r="N21" s="6">
        <f>(DATA!L48/2)+(DATA!M48/2)</f>
        <v>4333.2719354606525</v>
      </c>
      <c r="O21" s="7">
        <f t="shared" si="2"/>
        <v>38503.232514137868</v>
      </c>
    </row>
    <row r="22" spans="1:15" x14ac:dyDescent="0.25">
      <c r="A22" t="str">
        <f>IncomeStatement_Year5!A22</f>
        <v>Maintenance and Repairs</v>
      </c>
      <c r="B22" s="6">
        <v>0</v>
      </c>
      <c r="C22" s="6">
        <f>DATA!B50/2</f>
        <v>0</v>
      </c>
      <c r="D22" s="6">
        <f>(DATA!B50/2)+(DATA!C50/2)</f>
        <v>0</v>
      </c>
      <c r="E22" s="6">
        <f>(DATA!C50/2)+(DATA!D50/2)</f>
        <v>0</v>
      </c>
      <c r="F22" s="6">
        <f>(DATA!D50/2)+(DATA!E50/2)</f>
        <v>2269.26023521456</v>
      </c>
      <c r="G22" s="6">
        <f>(DATA!E50/2)+(DATA!F50/2)</f>
        <v>4567.3934213383181</v>
      </c>
      <c r="H22" s="6">
        <f>(DATA!F50/2)+(DATA!G50/2)</f>
        <v>4625.6807984584584</v>
      </c>
      <c r="I22" s="6">
        <f>(DATA!G50/2)+(DATA!H50/2)</f>
        <v>4685.0693762972041</v>
      </c>
      <c r="J22" s="6">
        <f>(DATA!H50/2)+(DATA!I50/2)</f>
        <v>4745.5965687290245</v>
      </c>
      <c r="K22" s="6">
        <f>(DATA!I50/2)+(DATA!J50/2)</f>
        <v>4807.3016698050442</v>
      </c>
      <c r="L22" s="6">
        <f>(DATA!J50/2)+(DATA!K50/2)</f>
        <v>4870.2259627306612</v>
      </c>
      <c r="M22" s="6">
        <f>(DATA!K50/2)+(DATA!L50/2)</f>
        <v>4934.4128354425538</v>
      </c>
      <c r="N22" s="6">
        <f>(DATA!L50/2)+(DATA!M50/2)</f>
        <v>4999.9079031909787</v>
      </c>
      <c r="O22" s="7">
        <f t="shared" si="2"/>
        <v>40504.848771206802</v>
      </c>
    </row>
    <row r="23" spans="1:15" x14ac:dyDescent="0.25">
      <c r="A23" t="str">
        <f>IncomeStatement_Year5!A23</f>
        <v>Office Supplies</v>
      </c>
      <c r="B23" s="6">
        <v>0</v>
      </c>
      <c r="C23" s="6">
        <f>DATA!B52/2</f>
        <v>250</v>
      </c>
      <c r="D23" s="6">
        <f>(DATA!B52/2)+(DATA!C52/2)</f>
        <v>507.5</v>
      </c>
      <c r="E23" s="6">
        <f>(DATA!C52/2)+(DATA!D52/2)</f>
        <v>522.72500000000002</v>
      </c>
      <c r="F23" s="6">
        <f>(DATA!D52/2)+(DATA!E52/2)</f>
        <v>538.4067500000001</v>
      </c>
      <c r="G23" s="6">
        <f>(DATA!E52/2)+(DATA!F52/2)</f>
        <v>554.55895250000003</v>
      </c>
      <c r="H23" s="6">
        <f>(DATA!F52/2)+(DATA!G52/2)</f>
        <v>571.19572107500005</v>
      </c>
      <c r="I23" s="6">
        <f>(DATA!G52/2)+(DATA!H52/2)</f>
        <v>588.33159270725014</v>
      </c>
      <c r="J23" s="6">
        <f>(DATA!H52/2)+(DATA!I52/2)</f>
        <v>605.98154048846754</v>
      </c>
      <c r="K23" s="6">
        <f>(DATA!I52/2)+(DATA!J52/2)</f>
        <v>624.16098670312158</v>
      </c>
      <c r="L23" s="6">
        <f>(DATA!J52/2)+(DATA!K52/2)</f>
        <v>642.88581630421527</v>
      </c>
      <c r="M23" s="6">
        <f>(DATA!K52/2)+(DATA!L52/2)</f>
        <v>662.17239079334172</v>
      </c>
      <c r="N23" s="6">
        <f>(DATA!L52/2)+(DATA!M52/2)</f>
        <v>682.03756251714196</v>
      </c>
      <c r="O23" s="7">
        <f t="shared" si="2"/>
        <v>6749.956313088539</v>
      </c>
    </row>
    <row r="24" spans="1:15" x14ac:dyDescent="0.25">
      <c r="A24" t="str">
        <f>IncomeStatement_Year5!A24</f>
        <v>Meals/Gifts/Entertainment</v>
      </c>
      <c r="B24" s="6">
        <v>0</v>
      </c>
      <c r="C24" s="6">
        <f>DATA!B54/2</f>
        <v>750</v>
      </c>
      <c r="D24" s="6">
        <f>(DATA!B54/2)+(DATA!C54/2)</f>
        <v>1522.5</v>
      </c>
      <c r="E24" s="6">
        <f>(DATA!C54/2)+(DATA!D54/2)</f>
        <v>1568.1750000000002</v>
      </c>
      <c r="F24" s="6">
        <f>(DATA!D54/2)+(DATA!E54/2)</f>
        <v>1615.2202500000003</v>
      </c>
      <c r="G24" s="6">
        <f>(DATA!E54/2)+(DATA!F54/2)</f>
        <v>1663.6768575000003</v>
      </c>
      <c r="H24" s="6">
        <f>(DATA!F54/2)+(DATA!G54/2)</f>
        <v>1713.5871632250005</v>
      </c>
      <c r="I24" s="6">
        <f>(DATA!G54/2)+(DATA!H54/2)</f>
        <v>1764.9947781217504</v>
      </c>
      <c r="J24" s="6">
        <f>(DATA!H54/2)+(DATA!I54/2)</f>
        <v>1817.9446214654031</v>
      </c>
      <c r="K24" s="6">
        <f>(DATA!I54/2)+(DATA!J54/2)</f>
        <v>1872.4829601093652</v>
      </c>
      <c r="L24" s="6">
        <f>(DATA!J54/2)+(DATA!K54/2)</f>
        <v>1928.657448912646</v>
      </c>
      <c r="M24" s="6">
        <f>(DATA!K54/2)+(DATA!L54/2)</f>
        <v>1986.5171723800254</v>
      </c>
      <c r="N24" s="6">
        <f>(DATA!L54/2)+(DATA!M54/2)</f>
        <v>2046.112687551426</v>
      </c>
      <c r="O24" s="7">
        <f t="shared" si="2"/>
        <v>20249.868939265623</v>
      </c>
    </row>
    <row r="25" spans="1:15" x14ac:dyDescent="0.25">
      <c r="A25" t="str">
        <f>IncomeStatement_Year5!A25</f>
        <v>Research and Development</v>
      </c>
      <c r="B25" s="6">
        <v>0</v>
      </c>
      <c r="C25" s="6">
        <f>DATA!B56/2</f>
        <v>11666.666666666666</v>
      </c>
      <c r="D25" s="6">
        <f>(DATA!B56/2)+(DATA!C56/2)</f>
        <v>23333.333333333332</v>
      </c>
      <c r="E25" s="6">
        <f>(DATA!C56/2)+(DATA!D56/2)</f>
        <v>23333.333333333332</v>
      </c>
      <c r="F25" s="6">
        <f>(DATA!D56/2)+(DATA!E56/2)</f>
        <v>49487.670586909335</v>
      </c>
      <c r="G25" s="6">
        <f>(DATA!E56/2)+(DATA!F56/2)</f>
        <v>76123.223688971979</v>
      </c>
      <c r="H25" s="6">
        <f>(DATA!F56/2)+(DATA!G56/2)</f>
        <v>77094.679974307641</v>
      </c>
      <c r="I25" s="6">
        <f>(DATA!G56/2)+(DATA!H56/2)</f>
        <v>78084.4896049534</v>
      </c>
      <c r="J25" s="6">
        <f>(DATA!H56/2)+(DATA!I56/2)</f>
        <v>79093.276145483745</v>
      </c>
      <c r="K25" s="6">
        <f>(DATA!I56/2)+(DATA!J56/2)</f>
        <v>80121.694496750744</v>
      </c>
      <c r="L25" s="6">
        <f>(DATA!J56/2)+(DATA!K56/2)</f>
        <v>81170.432712177688</v>
      </c>
      <c r="M25" s="6">
        <f>(DATA!K56/2)+(DATA!L56/2)</f>
        <v>82240.21392404256</v>
      </c>
      <c r="N25" s="6">
        <f>(DATA!L56/2)+(DATA!M56/2)</f>
        <v>83331.798386516311</v>
      </c>
      <c r="O25" s="7">
        <f t="shared" si="2"/>
        <v>745080.81285344658</v>
      </c>
    </row>
    <row r="26" spans="1:15" x14ac:dyDescent="0.25">
      <c r="A26" t="str">
        <f>IncomeStatement_Year5!A26</f>
        <v>Salaries and Wages</v>
      </c>
      <c r="B26" s="6">
        <v>0</v>
      </c>
      <c r="C26" s="6">
        <f>DATA!B58/2</f>
        <v>23083.333333333332</v>
      </c>
      <c r="D26" s="6">
        <f>(DATA!B58/2)+(DATA!C58/2)</f>
        <v>52066.666666666664</v>
      </c>
      <c r="E26" s="6">
        <f>(DATA!C58/2)+(DATA!D58/2)</f>
        <v>69316.666666666672</v>
      </c>
      <c r="F26" s="6">
        <f>(DATA!D58/2)+(DATA!E58/2)</f>
        <v>90991.666666666672</v>
      </c>
      <c r="G26" s="6">
        <f>(DATA!E58/2)+(DATA!F58/2)</f>
        <v>101316.66666666667</v>
      </c>
      <c r="H26" s="6">
        <f>(DATA!F58/2)+(DATA!G58/2)</f>
        <v>101316.66666666667</v>
      </c>
      <c r="I26" s="6">
        <f>(DATA!G58/2)+(DATA!H58/2)</f>
        <v>106725</v>
      </c>
      <c r="J26" s="6">
        <f>(DATA!H58/2)+(DATA!I58/2)</f>
        <v>112133.33333333334</v>
      </c>
      <c r="K26" s="6">
        <f>(DATA!I58/2)+(DATA!J58/2)</f>
        <v>112133.33333333334</v>
      </c>
      <c r="L26" s="6">
        <f>(DATA!J58/2)+(DATA!K58/2)</f>
        <v>112133.33333333334</v>
      </c>
      <c r="M26" s="6">
        <f>(DATA!K58/2)+(DATA!L58/2)</f>
        <v>112133.33333333334</v>
      </c>
      <c r="N26" s="6">
        <f>(DATA!L58/2)+(DATA!M58/2)</f>
        <v>112133.33333333334</v>
      </c>
      <c r="O26" s="7">
        <f t="shared" si="2"/>
        <v>1105483.3333333335</v>
      </c>
    </row>
    <row r="27" spans="1:15" x14ac:dyDescent="0.25">
      <c r="A27" t="str">
        <f>IncomeStatement_Year5!A27</f>
        <v>Taxes and Licenses</v>
      </c>
      <c r="B27" s="6">
        <v>0</v>
      </c>
      <c r="C27" s="6">
        <f>DATA!B59/2</f>
        <v>500</v>
      </c>
      <c r="D27" s="6">
        <f>(DATA!B59/2)+(DATA!C59/2)</f>
        <v>1005</v>
      </c>
      <c r="E27" s="6">
        <f>(DATA!C59/2)+(DATA!D59/2)</f>
        <v>1015.05</v>
      </c>
      <c r="F27" s="6">
        <f>(DATA!D59/2)+(DATA!E59/2)</f>
        <v>1025.2004999999999</v>
      </c>
      <c r="G27" s="6">
        <f>(DATA!E59/2)+(DATA!F59/2)</f>
        <v>1035.452505</v>
      </c>
      <c r="H27" s="6">
        <f>(DATA!F59/2)+(DATA!G59/2)</f>
        <v>1045.8070300499999</v>
      </c>
      <c r="I27" s="6">
        <f>(DATA!G59/2)+(DATA!H59/2)</f>
        <v>1056.2651003504998</v>
      </c>
      <c r="J27" s="6">
        <f>(DATA!H59/2)+(DATA!I59/2)</f>
        <v>1066.8277513540047</v>
      </c>
      <c r="K27" s="6">
        <f>(DATA!I59/2)+(DATA!J59/2)</f>
        <v>1077.4960288675447</v>
      </c>
      <c r="L27" s="6">
        <f>(DATA!J59/2)+(DATA!K59/2)</f>
        <v>1088.2709891562204</v>
      </c>
      <c r="M27" s="6">
        <f>(DATA!K59/2)+(DATA!L59/2)</f>
        <v>1099.1536990477825</v>
      </c>
      <c r="N27" s="6">
        <f>(DATA!L59/2)+(DATA!M59/2)</f>
        <v>1110.1452360382605</v>
      </c>
      <c r="O27" s="7">
        <f t="shared" si="2"/>
        <v>12124.668839864313</v>
      </c>
    </row>
    <row r="28" spans="1:15" x14ac:dyDescent="0.25">
      <c r="A28" t="str">
        <f>IncomeStatement_Year5!A28</f>
        <v>Telephone &amp; Internet</v>
      </c>
      <c r="B28" s="6">
        <v>0</v>
      </c>
      <c r="C28" s="6">
        <f>DATA!B61/2</f>
        <v>250</v>
      </c>
      <c r="D28" s="6">
        <f>(DATA!B61/2)+(DATA!C61/2)</f>
        <v>502.5</v>
      </c>
      <c r="E28" s="6">
        <f>(DATA!C61/2)+(DATA!D61/2)</f>
        <v>507.52499999999998</v>
      </c>
      <c r="F28" s="6">
        <f>(DATA!D61/2)+(DATA!E61/2)</f>
        <v>512.60024999999996</v>
      </c>
      <c r="G28" s="6">
        <f>(DATA!E61/2)+(DATA!F61/2)</f>
        <v>517.72625249999999</v>
      </c>
      <c r="H28" s="6">
        <f>(DATA!F61/2)+(DATA!G61/2)</f>
        <v>522.90351502499993</v>
      </c>
      <c r="I28" s="6">
        <f>(DATA!G61/2)+(DATA!H61/2)</f>
        <v>528.13255017524989</v>
      </c>
      <c r="J28" s="6">
        <f>(DATA!H61/2)+(DATA!I61/2)</f>
        <v>533.41387567700235</v>
      </c>
      <c r="K28" s="6">
        <f>(DATA!I61/2)+(DATA!J61/2)</f>
        <v>538.74801443377237</v>
      </c>
      <c r="L28" s="6">
        <f>(DATA!J61/2)+(DATA!K61/2)</f>
        <v>544.13549457811018</v>
      </c>
      <c r="M28" s="6">
        <f>(DATA!K61/2)+(DATA!L61/2)</f>
        <v>549.57684952389127</v>
      </c>
      <c r="N28" s="6">
        <f>(DATA!L61/2)+(DATA!M61/2)</f>
        <v>555.07261801913023</v>
      </c>
      <c r="O28" s="7">
        <f t="shared" si="2"/>
        <v>6062.3344199321564</v>
      </c>
    </row>
    <row r="29" spans="1:15" x14ac:dyDescent="0.25">
      <c r="A29" t="s">
        <v>72</v>
      </c>
      <c r="B29" s="6">
        <v>0</v>
      </c>
      <c r="C29" s="6">
        <f>LoanModule!D9</f>
        <v>0</v>
      </c>
      <c r="D29" s="6">
        <f>LoanModule!D10</f>
        <v>0</v>
      </c>
      <c r="E29" s="6">
        <f>LoanModule!D11</f>
        <v>0</v>
      </c>
      <c r="F29" s="6">
        <f>LoanModule!D12</f>
        <v>0</v>
      </c>
      <c r="G29" s="6">
        <f>LoanModule!D13</f>
        <v>0</v>
      </c>
      <c r="H29" s="6">
        <f>LoanModule!D14</f>
        <v>0</v>
      </c>
      <c r="I29" s="6">
        <f>LoanModule!D15</f>
        <v>0</v>
      </c>
      <c r="J29" s="6">
        <f>LoanModule!D16</f>
        <v>0</v>
      </c>
      <c r="K29" s="6">
        <f>LoanModule!D17</f>
        <v>0</v>
      </c>
      <c r="L29" s="6">
        <f>LoanModule!D18</f>
        <v>0</v>
      </c>
      <c r="M29" s="6">
        <f>LoanModule!D19</f>
        <v>0</v>
      </c>
      <c r="N29" s="6">
        <f>LoanModule!D20</f>
        <v>0</v>
      </c>
      <c r="O29" s="7">
        <f t="shared" si="2"/>
        <v>0</v>
      </c>
    </row>
    <row r="30" spans="1:15" x14ac:dyDescent="0.25">
      <c r="A30" t="s">
        <v>89</v>
      </c>
      <c r="B30" s="6">
        <v>0</v>
      </c>
      <c r="C30" s="6">
        <f>LoanModule!E9</f>
        <v>0</v>
      </c>
      <c r="D30" s="6">
        <f>LoanModule!E10</f>
        <v>0</v>
      </c>
      <c r="E30" s="6">
        <f>LoanModule!E11</f>
        <v>0</v>
      </c>
      <c r="F30" s="6">
        <f>LoanModule!E12</f>
        <v>0</v>
      </c>
      <c r="G30" s="6">
        <f>LoanModule!E13</f>
        <v>0</v>
      </c>
      <c r="H30" s="6">
        <f>LoanModule!E14</f>
        <v>0</v>
      </c>
      <c r="I30" s="6">
        <f>LoanModule!E15</f>
        <v>0</v>
      </c>
      <c r="J30" s="6">
        <f>LoanModule!E16</f>
        <v>0</v>
      </c>
      <c r="K30" s="6">
        <f>LoanModule!E17</f>
        <v>0</v>
      </c>
      <c r="L30" s="6">
        <f>LoanModule!E18</f>
        <v>0</v>
      </c>
      <c r="M30" s="6">
        <f>LoanModule!E19</f>
        <v>0</v>
      </c>
      <c r="N30" s="6">
        <f>LoanModule!E20</f>
        <v>0</v>
      </c>
      <c r="O30" s="7">
        <f t="shared" si="2"/>
        <v>0</v>
      </c>
    </row>
    <row r="31" spans="1:15" x14ac:dyDescent="0.25">
      <c r="A31" t="s">
        <v>18</v>
      </c>
      <c r="B31" s="6">
        <v>0</v>
      </c>
      <c r="C31" s="6">
        <f>DATA!B40</f>
        <v>0</v>
      </c>
      <c r="D31" s="6">
        <f>DATA!C40</f>
        <v>0</v>
      </c>
      <c r="E31" s="6">
        <f>DATA!D40</f>
        <v>0</v>
      </c>
      <c r="F31" s="6">
        <f>DATA!E40</f>
        <v>0</v>
      </c>
      <c r="G31" s="6">
        <f>DATA!F40</f>
        <v>0</v>
      </c>
      <c r="H31" s="6">
        <f>DATA!G40</f>
        <v>0</v>
      </c>
      <c r="I31" s="6">
        <f>DATA!H40</f>
        <v>0</v>
      </c>
      <c r="J31" s="6">
        <f>DATA!I40</f>
        <v>0</v>
      </c>
      <c r="K31" s="6">
        <f>DATA!J40</f>
        <v>0</v>
      </c>
      <c r="L31" s="6">
        <f>DATA!K40</f>
        <v>0</v>
      </c>
      <c r="M31" s="6">
        <f>DATA!L40</f>
        <v>0</v>
      </c>
      <c r="N31" s="6">
        <f>DATA!M40</f>
        <v>0</v>
      </c>
      <c r="O31" s="7">
        <f t="shared" si="2"/>
        <v>0</v>
      </c>
    </row>
    <row r="32" spans="1:15" x14ac:dyDescent="0.25">
      <c r="A32" t="s">
        <v>90</v>
      </c>
      <c r="B32" s="6">
        <f>SUM(StartupCosts!B3:B4)</f>
        <v>210000</v>
      </c>
      <c r="C32" s="6">
        <f>IF(DATA!E19=C5,DATA!B19,0)+IF(DATA!E22=C5,DATA!B22,0)</f>
        <v>200000</v>
      </c>
      <c r="D32" s="6">
        <f>IF(DATA!E19=D5,DATA!B19,0)+IF(DATA!E22=D5,DATA!B22,0)</f>
        <v>0</v>
      </c>
      <c r="E32" s="6">
        <f>IF(DATA!E19=E5,DATA!B19,0)+IF(DATA!E22=E5,DATA!B22,0)</f>
        <v>0</v>
      </c>
      <c r="F32" s="6">
        <f>IF(DATA!E19=F5,DATA!B19,0)+IF(DATA!E22=F5,DATA!B22,0)</f>
        <v>0</v>
      </c>
      <c r="G32" s="6">
        <f>IF(DATA!E19=G5,DATA!B19,0)+IF(DATA!E22=G5,DATA!B22,0)</f>
        <v>0</v>
      </c>
      <c r="H32" s="6">
        <f>IF(DATA!E19=H5,DATA!B19,0)+IF(DATA!E22=H5,DATA!B22,0)</f>
        <v>0</v>
      </c>
      <c r="I32" s="6">
        <f>IF(DATA!E19=I5,DATA!B19,0)+IF(DATA!E22=I5,DATA!B22,0)</f>
        <v>0</v>
      </c>
      <c r="J32" s="6">
        <f>IF(DATA!E19=J5,DATA!B19,0)+IF(DATA!E22=J5,DATA!B22,0)</f>
        <v>0</v>
      </c>
      <c r="K32" s="6">
        <f>IF(DATA!E19=K5,DATA!B19,0)+IF(DATA!E22=K5,DATA!B22,0)</f>
        <v>0</v>
      </c>
      <c r="L32" s="6">
        <f>IF(DATA!E19=L5,DATA!B19,0)+IF(DATA!E22=L5,DATA!B22,0)</f>
        <v>0</v>
      </c>
      <c r="M32" s="6">
        <f>IF(DATA!E19=M5,DATA!B19,0)+IF(DATA!E22=M5,DATA!B22,0)</f>
        <v>0</v>
      </c>
      <c r="N32" s="6">
        <f>IF(DATA!E19=N5,DATA!B19,0)+IF(DATA!E22=N5,DATA!B22,0)</f>
        <v>0</v>
      </c>
      <c r="O32" s="7">
        <f t="shared" si="2"/>
        <v>410000</v>
      </c>
    </row>
    <row r="33" spans="1:15" x14ac:dyDescent="0.25">
      <c r="A33" t="s">
        <v>91</v>
      </c>
      <c r="B33" s="6">
        <v>0</v>
      </c>
      <c r="C33" s="6">
        <f>(DATA!B74*DATA!B79)/2</f>
        <v>0</v>
      </c>
      <c r="D33" s="6">
        <f>((DATA!B74*DATA!B79)/2)+((DATA!B74*DATA!C79)/2)</f>
        <v>0</v>
      </c>
      <c r="E33" s="6">
        <f>((DATA!B74*DATA!C79)/2)+((DATA!B74*DATA!D79)/2)</f>
        <v>0</v>
      </c>
      <c r="F33" s="6">
        <f>((DATA!B74*DATA!D79)/2)+((DATA!B74*DATA!E79)/2)</f>
        <v>0</v>
      </c>
      <c r="G33" s="6">
        <f>((DATA!B74*DATA!E79)/2)+((DATA!B74*DATA!F79)/2)</f>
        <v>0</v>
      </c>
      <c r="H33" s="6">
        <f>((DATA!B74*DATA!F79)/2)+((DATA!B74*DATA!G79)/2)</f>
        <v>0</v>
      </c>
      <c r="I33" s="6">
        <f>((DATA!B74*DATA!G79)/2)+((DATA!B74*DATA!H79)/2)</f>
        <v>0</v>
      </c>
      <c r="J33" s="6">
        <f>((DATA!B74*DATA!H79)/2)+((DATA!B74*DATA!I79)/2)</f>
        <v>0</v>
      </c>
      <c r="K33" s="6">
        <f>((DATA!B74*DATA!I79)/2)+((DATA!B74*DATA!J79)/2)</f>
        <v>0</v>
      </c>
      <c r="L33" s="6">
        <f>((DATA!B74*DATA!J79)/2)+((DATA!B74*DATA!K79)/2)</f>
        <v>0</v>
      </c>
      <c r="M33" s="6">
        <f>((DATA!B74*DATA!K79)/2)+((DATA!B74*DATA!L79)/2)</f>
        <v>0</v>
      </c>
      <c r="N33" s="6">
        <f>((DATA!B74*DATA!L79)/2)+((DATA!B74*DATA!M79)/2)</f>
        <v>0</v>
      </c>
      <c r="O33" s="7">
        <f t="shared" si="2"/>
        <v>0</v>
      </c>
    </row>
    <row r="34" spans="1:15" x14ac:dyDescent="0.25">
      <c r="A34" t="s">
        <v>77</v>
      </c>
      <c r="B34" s="6">
        <v>0</v>
      </c>
      <c r="C34" s="6">
        <f>IncomeStatement_Year1!B36</f>
        <v>12247.238865813299</v>
      </c>
      <c r="D34" s="6">
        <f>IncomeStatement_Year1!C36</f>
        <v>12247.238865813299</v>
      </c>
      <c r="E34" s="6">
        <f>IncomeStatement_Year1!D36</f>
        <v>12247.238865813299</v>
      </c>
      <c r="F34" s="6">
        <f>IncomeStatement_Year1!E36</f>
        <v>12247.238865813299</v>
      </c>
      <c r="G34" s="6">
        <f>IncomeStatement_Year1!F36</f>
        <v>12247.238865813299</v>
      </c>
      <c r="H34" s="6">
        <f>IncomeStatement_Year1!G36</f>
        <v>12247.238865813299</v>
      </c>
      <c r="I34" s="6">
        <f>IncomeStatement_Year1!H36</f>
        <v>12247.238865813299</v>
      </c>
      <c r="J34" s="6">
        <f>IncomeStatement_Year1!I36</f>
        <v>12247.238865813299</v>
      </c>
      <c r="K34" s="6">
        <f>IncomeStatement_Year1!J36</f>
        <v>12247.238865813299</v>
      </c>
      <c r="L34" s="6">
        <f>IncomeStatement_Year1!K36</f>
        <v>12247.238865813299</v>
      </c>
      <c r="M34" s="6">
        <f>IncomeStatement_Year1!L36</f>
        <v>12247.238865813299</v>
      </c>
      <c r="N34" s="6">
        <f>IncomeStatement_Year1!M36</f>
        <v>12247.238865813299</v>
      </c>
      <c r="O34" s="7">
        <f t="shared" si="2"/>
        <v>146966.86638975958</v>
      </c>
    </row>
    <row r="35" spans="1:15" x14ac:dyDescent="0.25">
      <c r="A35" t="s">
        <v>92</v>
      </c>
      <c r="B35" s="6">
        <v>0</v>
      </c>
      <c r="C35" s="6">
        <f>-('Inventory Module'!B26-CashFlowStatement_Year1!B35)</f>
        <v>-1004750</v>
      </c>
      <c r="D35" s="6">
        <f>('Inventory Module'!B26-'Inventory Module'!C26)</f>
        <v>-49.52475000009872</v>
      </c>
      <c r="E35" s="6">
        <f>('Inventory Module'!C26-'Inventory Module'!D26)</f>
        <v>-49.623849024646915</v>
      </c>
      <c r="F35" s="6">
        <f>('Inventory Module'!D26-'Inventory Module'!E26)</f>
        <v>323305.315588378</v>
      </c>
      <c r="G35" s="6">
        <f>('Inventory Module'!E26-'Inventory Module'!F26)</f>
        <v>327359.76938940026</v>
      </c>
      <c r="H35" s="6">
        <f>('Inventory Module'!F26-'Inventory Module'!G26)</f>
        <v>-648511.8426239579</v>
      </c>
      <c r="I35" s="6">
        <f>('Inventory Module'!G26-'Inventory Module'!H26)</f>
        <v>335692.947525147</v>
      </c>
      <c r="J35" s="6">
        <f>('Inventory Module'!H26-'Inventory Module'!I26)</f>
        <v>339976.73136808875</v>
      </c>
      <c r="K35" s="6">
        <f>('Inventory Module'!I26-'Inventory Module'!J26)</f>
        <v>-635657.76890444255</v>
      </c>
      <c r="L35" s="6">
        <f>('Inventory Module'!J26-'Inventory Module'!K26)</f>
        <v>348792.307086432</v>
      </c>
      <c r="M35" s="6">
        <f>('Inventory Module'!K26-'Inventory Module'!L26)</f>
        <v>353329.96588631335</v>
      </c>
      <c r="N35" s="6">
        <f>('Inventory Module'!L26-'Inventory Module'!M26)</f>
        <v>-622041.63133716222</v>
      </c>
      <c r="O35" s="7">
        <f t="shared" si="2"/>
        <v>-882603.35462082806</v>
      </c>
    </row>
    <row r="36" spans="1:15" x14ac:dyDescent="0.25">
      <c r="A36" s="4" t="s">
        <v>93</v>
      </c>
      <c r="B36" s="9">
        <f t="shared" ref="B36:N36" si="3">SUM(B16:B34)-B35</f>
        <v>210000</v>
      </c>
      <c r="C36" s="9">
        <f t="shared" si="3"/>
        <v>1254497.2388658132</v>
      </c>
      <c r="D36" s="9">
        <f t="shared" si="3"/>
        <v>93234.263615813397</v>
      </c>
      <c r="E36" s="9">
        <f t="shared" si="3"/>
        <v>110560.33771483795</v>
      </c>
      <c r="F36" s="9">
        <f t="shared" si="3"/>
        <v>60556.598477422609</v>
      </c>
      <c r="G36" s="9">
        <f t="shared" si="3"/>
        <v>320149.0625568463</v>
      </c>
      <c r="H36" s="9">
        <f t="shared" si="3"/>
        <v>1299426.3698977181</v>
      </c>
      <c r="I36" s="9">
        <f t="shared" si="3"/>
        <v>324111.59832316183</v>
      </c>
      <c r="J36" s="9">
        <f t="shared" si="3"/>
        <v>328796.62954512553</v>
      </c>
      <c r="K36" s="9">
        <f t="shared" si="3"/>
        <v>1308073.3514433037</v>
      </c>
      <c r="L36" s="9">
        <f t="shared" si="3"/>
        <v>327350.32459683355</v>
      </c>
      <c r="M36" s="9">
        <f t="shared" si="3"/>
        <v>326627.78211597947</v>
      </c>
      <c r="N36" s="9">
        <f t="shared" si="3"/>
        <v>1305905.9627706506</v>
      </c>
      <c r="O36" s="9">
        <f t="shared" si="2"/>
        <v>7269289.5199235044</v>
      </c>
    </row>
    <row r="38" spans="1:15" x14ac:dyDescent="0.25">
      <c r="A38" s="4" t="s">
        <v>94</v>
      </c>
      <c r="B38" s="10">
        <f t="shared" ref="B38:N38" si="4">B13-B36</f>
        <v>-210000</v>
      </c>
      <c r="C38" s="10">
        <f t="shared" si="4"/>
        <v>3245502.7611341868</v>
      </c>
      <c r="D38" s="10">
        <f t="shared" si="4"/>
        <v>-93234.263615813397</v>
      </c>
      <c r="E38" s="10">
        <f t="shared" si="4"/>
        <v>-110560.33771483795</v>
      </c>
      <c r="F38" s="10">
        <f t="shared" si="4"/>
        <v>695863.47992743074</v>
      </c>
      <c r="G38" s="10">
        <f t="shared" si="4"/>
        <v>445895.33281773969</v>
      </c>
      <c r="H38" s="10">
        <f t="shared" si="4"/>
        <v>-523577.16578615131</v>
      </c>
      <c r="I38" s="10">
        <f t="shared" si="4"/>
        <v>461728.98966433934</v>
      </c>
      <c r="J38" s="10">
        <f t="shared" si="4"/>
        <v>467228.30537704821</v>
      </c>
      <c r="K38" s="10">
        <f t="shared" si="4"/>
        <v>-501664.39643046272</v>
      </c>
      <c r="L38" s="10">
        <f t="shared" si="4"/>
        <v>489649.37463387928</v>
      </c>
      <c r="M38" s="10">
        <f t="shared" si="4"/>
        <v>501176.79713415878</v>
      </c>
      <c r="N38" s="10">
        <f t="shared" si="4"/>
        <v>-467074.57429046277</v>
      </c>
      <c r="O38" s="10">
        <f>SUM(B38:N38)</f>
        <v>4400934.3028510557</v>
      </c>
    </row>
    <row r="40" spans="1:15" x14ac:dyDescent="0.25">
      <c r="A40" s="4" t="s">
        <v>95</v>
      </c>
      <c r="B40" s="7">
        <f>B38</f>
        <v>-210000</v>
      </c>
      <c r="C40" s="7">
        <f t="shared" ref="C40:N40" si="5">B40+C38</f>
        <v>3035502.7611341868</v>
      </c>
      <c r="D40" s="7">
        <f t="shared" si="5"/>
        <v>2942268.4975183732</v>
      </c>
      <c r="E40" s="7">
        <f t="shared" si="5"/>
        <v>2831708.1598035353</v>
      </c>
      <c r="F40" s="7">
        <f t="shared" si="5"/>
        <v>3527571.6397309662</v>
      </c>
      <c r="G40" s="7">
        <f t="shared" si="5"/>
        <v>3973466.972548706</v>
      </c>
      <c r="H40" s="7">
        <f t="shared" si="5"/>
        <v>3449889.8067625547</v>
      </c>
      <c r="I40" s="7">
        <f t="shared" si="5"/>
        <v>3911618.7964268941</v>
      </c>
      <c r="J40" s="7">
        <f t="shared" si="5"/>
        <v>4378847.1018039426</v>
      </c>
      <c r="K40" s="7">
        <f t="shared" si="5"/>
        <v>3877182.70537348</v>
      </c>
      <c r="L40" s="7">
        <f t="shared" si="5"/>
        <v>4366832.0800073594</v>
      </c>
      <c r="M40" s="7">
        <f t="shared" si="5"/>
        <v>4868008.8771415185</v>
      </c>
      <c r="N40" s="7">
        <f t="shared" si="5"/>
        <v>4400934.3028510557</v>
      </c>
      <c r="O40" s="7">
        <f>N40</f>
        <v>4400934.3028510557</v>
      </c>
    </row>
    <row r="45" spans="1:15" x14ac:dyDescent="0.25">
      <c r="A45" t="s">
        <v>79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16" workbookViewId="0">
      <selection activeCell="G38" sqref="G38"/>
    </sheetView>
  </sheetViews>
  <sheetFormatPr defaultColWidth="8.85546875" defaultRowHeight="15" x14ac:dyDescent="0.25"/>
  <cols>
    <col min="1" max="1" width="32.28515625" bestFit="1" customWidth="1"/>
    <col min="2" max="13" width="10.85546875" bestFit="1" customWidth="1"/>
    <col min="14" max="14" width="11.85546875" bestFit="1" customWidth="1"/>
  </cols>
  <sheetData>
    <row r="1" spans="1:14" x14ac:dyDescent="0.25">
      <c r="A1" t="str">
        <f>DATA!B1</f>
        <v>Example Manufacturing Company</v>
      </c>
    </row>
    <row r="2" spans="1:14" x14ac:dyDescent="0.25">
      <c r="A2" t="s">
        <v>82</v>
      </c>
    </row>
    <row r="3" spans="1:14" x14ac:dyDescent="0.25">
      <c r="A3" t="s">
        <v>80</v>
      </c>
    </row>
    <row r="5" spans="1:14" x14ac:dyDescent="0.25">
      <c r="B5">
        <v>13</v>
      </c>
      <c r="C5">
        <v>14</v>
      </c>
      <c r="D5">
        <v>15</v>
      </c>
      <c r="E5">
        <v>16</v>
      </c>
      <c r="F5">
        <v>17</v>
      </c>
      <c r="G5">
        <v>18</v>
      </c>
      <c r="H5">
        <v>19</v>
      </c>
      <c r="I5">
        <v>20</v>
      </c>
      <c r="J5">
        <v>21</v>
      </c>
      <c r="K5">
        <v>22</v>
      </c>
      <c r="L5">
        <v>23</v>
      </c>
      <c r="M5">
        <v>24</v>
      </c>
      <c r="N5" s="4" t="s">
        <v>80</v>
      </c>
    </row>
    <row r="7" spans="1:14" x14ac:dyDescent="0.25">
      <c r="A7" s="4" t="s">
        <v>83</v>
      </c>
      <c r="B7" s="6">
        <f>CashFlowStatement_Year1!N7+CashFlowStatement_Year1!N38</f>
        <v>4700934.3028510548</v>
      </c>
      <c r="C7" s="6">
        <f t="shared" ref="C7:M7" si="0">B7+B37</f>
        <v>5208732.0161648123</v>
      </c>
      <c r="D7" s="6">
        <f t="shared" si="0"/>
        <v>5727192.1969035706</v>
      </c>
      <c r="E7" s="6">
        <f t="shared" si="0"/>
        <v>5274984.5615041424</v>
      </c>
      <c r="F7" s="6">
        <f t="shared" si="0"/>
        <v>5812316.3902155822</v>
      </c>
      <c r="G7" s="6">
        <f t="shared" si="0"/>
        <v>5379403.1118558142</v>
      </c>
      <c r="H7" s="6">
        <f t="shared" si="0"/>
        <v>5936468.7421933319</v>
      </c>
      <c r="I7" s="6">
        <f t="shared" si="0"/>
        <v>6503746.3484274885</v>
      </c>
      <c r="J7" s="6">
        <f t="shared" si="0"/>
        <v>6095246.2723059272</v>
      </c>
      <c r="K7" s="6">
        <f t="shared" si="0"/>
        <v>6683673.2571798991</v>
      </c>
      <c r="L7" s="6">
        <f t="shared" si="0"/>
        <v>6303070.7737716623</v>
      </c>
      <c r="M7" s="6">
        <f t="shared" si="0"/>
        <v>6913713.3198714694</v>
      </c>
      <c r="N7" s="7">
        <f>M7</f>
        <v>6913713.3198714694</v>
      </c>
    </row>
    <row r="9" spans="1:14" x14ac:dyDescent="0.25">
      <c r="A9" s="4" t="s">
        <v>84</v>
      </c>
    </row>
    <row r="10" spans="1:14" x14ac:dyDescent="0.25">
      <c r="A10" t="s">
        <v>31</v>
      </c>
      <c r="B10" s="6">
        <f>DATA!N85</f>
        <v>850088.32437264081</v>
      </c>
      <c r="C10" s="6">
        <f>DATA!O85</f>
        <v>861584.01208497211</v>
      </c>
      <c r="D10" s="6">
        <f>DATA!P85</f>
        <v>873327.52958181791</v>
      </c>
      <c r="E10" s="6">
        <f>DATA!Q85</f>
        <v>885328.43426357163</v>
      </c>
      <c r="F10" s="6">
        <f>DATA!R85</f>
        <v>897596.79121627589</v>
      </c>
      <c r="G10" s="6">
        <f>DATA!S85</f>
        <v>910143.20318281383</v>
      </c>
      <c r="H10" s="6">
        <f>DATA!T85</f>
        <v>922978.84236162668</v>
      </c>
      <c r="I10" s="6">
        <f>DATA!U85</f>
        <v>936115.48414577346</v>
      </c>
      <c r="J10" s="6">
        <f>DATA!V85</f>
        <v>949565.54292218061</v>
      </c>
      <c r="K10" s="6">
        <f>DATA!W85</f>
        <v>963342.11005836294</v>
      </c>
      <c r="L10" s="6">
        <f>DATA!X85</f>
        <v>977458.99421183008</v>
      </c>
      <c r="M10" s="6">
        <f>DATA!Y85</f>
        <v>991930.7641058024</v>
      </c>
      <c r="N10" s="7">
        <f>SUM(B10:M10)</f>
        <v>11019460.032507669</v>
      </c>
    </row>
    <row r="11" spans="1:14" x14ac:dyDescent="0.25">
      <c r="A11" t="s">
        <v>58</v>
      </c>
      <c r="B11" s="6">
        <f>0</f>
        <v>0</v>
      </c>
      <c r="C11" s="6">
        <f>0</f>
        <v>0</v>
      </c>
      <c r="D11" s="6">
        <f>0</f>
        <v>0</v>
      </c>
      <c r="E11" s="6">
        <f>0</f>
        <v>0</v>
      </c>
      <c r="F11" s="6">
        <f>0</f>
        <v>0</v>
      </c>
      <c r="G11" s="6">
        <f>0</f>
        <v>0</v>
      </c>
      <c r="H11" s="6">
        <f>0</f>
        <v>0</v>
      </c>
      <c r="I11" s="6">
        <f>0</f>
        <v>0</v>
      </c>
      <c r="J11" s="6">
        <f>0</f>
        <v>0</v>
      </c>
      <c r="K11" s="6">
        <f>0</f>
        <v>0</v>
      </c>
      <c r="L11" s="6">
        <f>0</f>
        <v>0</v>
      </c>
      <c r="M11" s="6">
        <f>0</f>
        <v>0</v>
      </c>
      <c r="N11" s="7">
        <f>SUM(B11:M11)</f>
        <v>0</v>
      </c>
    </row>
    <row r="12" spans="1:14" x14ac:dyDescent="0.25">
      <c r="A12" s="4" t="s">
        <v>85</v>
      </c>
      <c r="B12" s="9">
        <f t="shared" ref="B12:M12" si="1">SUM(B10:B11)</f>
        <v>850088.32437264081</v>
      </c>
      <c r="C12" s="9">
        <f t="shared" si="1"/>
        <v>861584.01208497211</v>
      </c>
      <c r="D12" s="9">
        <f t="shared" si="1"/>
        <v>873327.52958181791</v>
      </c>
      <c r="E12" s="9">
        <f t="shared" si="1"/>
        <v>885328.43426357163</v>
      </c>
      <c r="F12" s="9">
        <f t="shared" si="1"/>
        <v>897596.79121627589</v>
      </c>
      <c r="G12" s="9">
        <f t="shared" si="1"/>
        <v>910143.20318281383</v>
      </c>
      <c r="H12" s="9">
        <f t="shared" si="1"/>
        <v>922978.84236162668</v>
      </c>
      <c r="I12" s="9">
        <f t="shared" si="1"/>
        <v>936115.48414577346</v>
      </c>
      <c r="J12" s="9">
        <f t="shared" si="1"/>
        <v>949565.54292218061</v>
      </c>
      <c r="K12" s="9">
        <f t="shared" si="1"/>
        <v>963342.11005836294</v>
      </c>
      <c r="L12" s="9">
        <f t="shared" si="1"/>
        <v>977458.99421183008</v>
      </c>
      <c r="M12" s="9">
        <f t="shared" si="1"/>
        <v>991930.7641058024</v>
      </c>
      <c r="N12" s="9">
        <f>SUM(B12:M12)</f>
        <v>11019460.032507669</v>
      </c>
    </row>
    <row r="14" spans="1:14" x14ac:dyDescent="0.25">
      <c r="A14" s="4" t="s">
        <v>86</v>
      </c>
    </row>
    <row r="15" spans="1:14" x14ac:dyDescent="0.25">
      <c r="A15" t="s">
        <v>87</v>
      </c>
      <c r="B15" s="6">
        <f>(DATA!M80/2)+(DATA!N80/2)</f>
        <v>322242.75921826722</v>
      </c>
      <c r="C15" s="6">
        <f>(DATA!N80/2)+(DATA!O80/2)</f>
        <v>324758.43709026213</v>
      </c>
      <c r="D15" s="6">
        <f>(DATA!O80/2)+(DATA!P80/2)</f>
        <v>328800.57332740526</v>
      </c>
      <c r="E15" s="6">
        <f>(DATA!P80/2)+(DATA!Q80/2)</f>
        <v>332927.22612705256</v>
      </c>
      <c r="F15" s="6">
        <f>(DATA!Q80/2)+(DATA!R80/2)</f>
        <v>337141.7052282003</v>
      </c>
      <c r="G15" s="6">
        <f>(DATA!R80/2)+(DATA!S80/2)</f>
        <v>341447.49598222651</v>
      </c>
      <c r="H15" s="6">
        <f>(DATA!S80/2)+(DATA!T80/2)</f>
        <v>345848.26951426064</v>
      </c>
      <c r="I15" s="6">
        <f>(DATA!T80/2)+(DATA!U80/2)</f>
        <v>350347.89348614751</v>
      </c>
      <c r="J15" s="6">
        <f>(DATA!U80/2)+(DATA!V80/2)</f>
        <v>354950.44349687453</v>
      </c>
      <c r="K15" s="6">
        <f>(DATA!V80/2)+(DATA!W80/2)</f>
        <v>359660.21515847661</v>
      </c>
      <c r="L15" s="6">
        <f>(DATA!W80/2)+(DATA!X80/2)</f>
        <v>364481.73688770592</v>
      </c>
      <c r="M15" s="6">
        <f>(DATA!X80/2)+(DATA!Y80/2)</f>
        <v>369419.78345616558</v>
      </c>
      <c r="N15" s="7">
        <f t="shared" ref="N15:N35" si="2">SUM(B15:M15)</f>
        <v>4132026.5389730446</v>
      </c>
    </row>
    <row r="16" spans="1:14" x14ac:dyDescent="0.25">
      <c r="A16" t="s">
        <v>88</v>
      </c>
      <c r="B16" s="6">
        <f>(DATA!M81/2)+(DATA!N81/2)</f>
        <v>16975.379988623146</v>
      </c>
      <c r="C16" s="6">
        <f>(DATA!N81/2)+(DATA!O81/2)</f>
        <v>17115.818431671098</v>
      </c>
      <c r="D16" s="6">
        <f>(DATA!O81/2)+(DATA!P81/2)</f>
        <v>17345.767690547524</v>
      </c>
      <c r="E16" s="6">
        <f>(DATA!P81/2)+(DATA!Q81/2)</f>
        <v>17580.666678134352</v>
      </c>
      <c r="F16" s="6">
        <f>(DATA!Q81/2)+(DATA!R81/2)</f>
        <v>17820.70749094044</v>
      </c>
      <c r="G16" s="6">
        <f>(DATA!R81/2)+(DATA!S81/2)</f>
        <v>18066.092467714861</v>
      </c>
      <c r="H16" s="6">
        <f>(DATA!S81/2)+(DATA!T81/2)</f>
        <v>18317.034793246385</v>
      </c>
      <c r="I16" s="6">
        <f>(DATA!T81/2)+(DATA!U81/2)</f>
        <v>18573.759138798581</v>
      </c>
      <c r="J16" s="6">
        <f>(DATA!U81/2)+(DATA!V81/2)</f>
        <v>18836.502341425577</v>
      </c>
      <c r="K16" s="6">
        <f>(DATA!V81/2)+(DATA!W81/2)</f>
        <v>19105.514124551799</v>
      </c>
      <c r="L16" s="6">
        <f>(DATA!W81/2)+(DATA!X81/2)</f>
        <v>19381.057862345653</v>
      </c>
      <c r="M16" s="6">
        <f>(DATA!X81/2)+(DATA!Y81/2)</f>
        <v>19663.411390573237</v>
      </c>
      <c r="N16" s="7">
        <f t="shared" si="2"/>
        <v>218781.71239857265</v>
      </c>
    </row>
    <row r="17" spans="1:14" x14ac:dyDescent="0.25">
      <c r="A17" t="str">
        <f>IncomeStatement_Year5!A18</f>
        <v>Professional, Accounting and Legal</v>
      </c>
      <c r="B17" s="6">
        <f>(DATA!M43/2)+(DATA!N43/2)</f>
        <v>30556.094974924505</v>
      </c>
      <c r="C17" s="6">
        <f>(DATA!N43/2)+(DATA!O43/2)</f>
        <v>30954.265888008231</v>
      </c>
      <c r="D17" s="6">
        <f>(DATA!O43/2)+(DATA!P43/2)</f>
        <v>31360.951979168829</v>
      </c>
      <c r="E17" s="6">
        <f>(DATA!P43/2)+(DATA!Q43/2)</f>
        <v>31776.47936729432</v>
      </c>
      <c r="F17" s="6">
        <f>(DATA!Q43/2)+(DATA!R43/2)</f>
        <v>32201.191445897333</v>
      </c>
      <c r="G17" s="6">
        <f>(DATA!R43/2)+(DATA!S43/2)</f>
        <v>32635.449901984073</v>
      </c>
      <c r="H17" s="6">
        <f>(DATA!S43/2)+(DATA!T43/2)</f>
        <v>33079.635797027717</v>
      </c>
      <c r="I17" s="6">
        <f>(DATA!T43/2)+(DATA!U43/2)</f>
        <v>33534.150713879506</v>
      </c>
      <c r="J17" s="6">
        <f>(DATA!U43/2)+(DATA!V43/2)</f>
        <v>33999.417973689197</v>
      </c>
      <c r="K17" s="6">
        <f>(DATA!V43/2)+(DATA!W43/2)</f>
        <v>34475.883927159513</v>
      </c>
      <c r="L17" s="6">
        <f>(DATA!W43/2)+(DATA!X43/2)</f>
        <v>34964.019324728382</v>
      </c>
      <c r="M17" s="6">
        <f>(DATA!X43/2)+(DATA!Y43/2)</f>
        <v>35464.320770558574</v>
      </c>
      <c r="N17" s="7">
        <f t="shared" si="2"/>
        <v>395001.86206432019</v>
      </c>
    </row>
    <row r="18" spans="1:14" x14ac:dyDescent="0.25">
      <c r="A18" t="str">
        <f>IncomeStatement_Year5!A19</f>
        <v>Marketing &amp; Advertising</v>
      </c>
      <c r="B18" s="6">
        <f>(DATA!M45/2)+(DATA!N45/2)</f>
        <v>10882.709891562206</v>
      </c>
      <c r="C18" s="6">
        <f>(DATA!N45/2)+(DATA!O45/2)</f>
        <v>10991.536990477827</v>
      </c>
      <c r="D18" s="6">
        <f>(DATA!O45/2)+(DATA!P45/2)</f>
        <v>11101.452360382606</v>
      </c>
      <c r="E18" s="6">
        <f>(DATA!P45/2)+(DATA!Q45/2)</f>
        <v>11212.466883986432</v>
      </c>
      <c r="F18" s="6">
        <f>(DATA!Q45/2)+(DATA!R45/2)</f>
        <v>11324.591552826296</v>
      </c>
      <c r="G18" s="6">
        <f>(DATA!R45/2)+(DATA!S45/2)</f>
        <v>11437.837468354559</v>
      </c>
      <c r="H18" s="6">
        <f>(DATA!S45/2)+(DATA!T45/2)</f>
        <v>11552.215843038106</v>
      </c>
      <c r="I18" s="6">
        <f>(DATA!T45/2)+(DATA!U45/2)</f>
        <v>11667.738001468488</v>
      </c>
      <c r="J18" s="6">
        <f>(DATA!U45/2)+(DATA!V45/2)</f>
        <v>11784.415381483173</v>
      </c>
      <c r="K18" s="6">
        <f>(DATA!V45/2)+(DATA!W45/2)</f>
        <v>11902.259535298006</v>
      </c>
      <c r="L18" s="6">
        <f>(DATA!W45/2)+(DATA!X45/2)</f>
        <v>12021.282130650985</v>
      </c>
      <c r="M18" s="6">
        <f>(DATA!X45/2)+(DATA!Y45/2)</f>
        <v>12141.494951957495</v>
      </c>
      <c r="N18" s="7">
        <f t="shared" si="2"/>
        <v>138020.00099148619</v>
      </c>
    </row>
    <row r="19" spans="1:14" x14ac:dyDescent="0.25">
      <c r="A19" t="str">
        <f>IncomeStatement_Year5!A20</f>
        <v>Contingency Expense</v>
      </c>
      <c r="B19" s="6">
        <f>(DATA!M46/2)+(DATA!N46/2)</f>
        <v>84445.985642641434</v>
      </c>
      <c r="C19" s="6">
        <f>(DATA!N46/2)+(DATA!O46/2)</f>
        <v>85583.616822880664</v>
      </c>
      <c r="D19" s="6">
        <f>(DATA!O46/2)+(DATA!P46/2)</f>
        <v>86745.577083339507</v>
      </c>
      <c r="E19" s="6">
        <f>(DATA!P46/2)+(DATA!Q46/2)</f>
        <v>87932.798192269489</v>
      </c>
      <c r="F19" s="6">
        <f>(DATA!Q46/2)+(DATA!R46/2)</f>
        <v>89146.261273992379</v>
      </c>
      <c r="G19" s="6">
        <f>(DATA!R46/2)+(DATA!S46/2)</f>
        <v>90386.999719954489</v>
      </c>
      <c r="H19" s="6">
        <f>(DATA!S46/2)+(DATA!T46/2)</f>
        <v>91656.102277222031</v>
      </c>
      <c r="I19" s="6">
        <f>(DATA!T46/2)+(DATA!U46/2)</f>
        <v>92954.716325370013</v>
      </c>
      <c r="J19" s="6">
        <f>(DATA!U46/2)+(DATA!V46/2)</f>
        <v>94284.051353397706</v>
      </c>
      <c r="K19" s="6">
        <f>(DATA!V46/2)+(DATA!W46/2)</f>
        <v>95645.382649027189</v>
      </c>
      <c r="L19" s="6">
        <f>(DATA!W46/2)+(DATA!X46/2)</f>
        <v>97040.055213509651</v>
      </c>
      <c r="M19" s="6">
        <f>(DATA!X46/2)+(DATA!Y46/2)</f>
        <v>98469.487915881633</v>
      </c>
      <c r="N19" s="7">
        <f t="shared" si="2"/>
        <v>1094291.0344694862</v>
      </c>
    </row>
    <row r="20" spans="1:14" x14ac:dyDescent="0.25">
      <c r="A20" t="str">
        <f>IncomeStatement_Year5!A21</f>
        <v>Business Insurance</v>
      </c>
      <c r="B20" s="6">
        <f>(DATA!M48/2)+(DATA!N48/2)</f>
        <v>4377.839425705657</v>
      </c>
      <c r="C20" s="6">
        <f>(DATA!N48/2)+(DATA!O48/2)</f>
        <v>4423.3446729152256</v>
      </c>
      <c r="D20" s="6">
        <f>(DATA!O48/2)+(DATA!P48/2)</f>
        <v>4469.8230833335801</v>
      </c>
      <c r="E20" s="6">
        <f>(DATA!P48/2)+(DATA!Q48/2)</f>
        <v>4517.3119276907792</v>
      </c>
      <c r="F20" s="6">
        <f>(DATA!Q48/2)+(DATA!R48/2)</f>
        <v>4565.8504509596951</v>
      </c>
      <c r="G20" s="6">
        <f>(DATA!R48/2)+(DATA!S48/2)</f>
        <v>4615.4799887981799</v>
      </c>
      <c r="H20" s="6">
        <f>(DATA!S48/2)+(DATA!T48/2)</f>
        <v>4666.2440910888818</v>
      </c>
      <c r="I20" s="6">
        <f>(DATA!T48/2)+(DATA!U48/2)</f>
        <v>4718.1886530148004</v>
      </c>
      <c r="J20" s="6">
        <f>(DATA!U48/2)+(DATA!V48/2)</f>
        <v>4771.3620541359087</v>
      </c>
      <c r="K20" s="6">
        <f>(DATA!V48/2)+(DATA!W48/2)</f>
        <v>4825.8153059610868</v>
      </c>
      <c r="L20" s="6">
        <f>(DATA!W48/2)+(DATA!X48/2)</f>
        <v>4881.6022085403856</v>
      </c>
      <c r="M20" s="6">
        <f>(DATA!X48/2)+(DATA!Y48/2)</f>
        <v>4938.7795166352644</v>
      </c>
      <c r="N20" s="7">
        <f t="shared" si="2"/>
        <v>55771.641378779452</v>
      </c>
    </row>
    <row r="21" spans="1:14" x14ac:dyDescent="0.25">
      <c r="A21" t="str">
        <f>IncomeStatement_Year5!A22</f>
        <v>Maintenance and Repairs</v>
      </c>
      <c r="B21" s="6">
        <f>(DATA!M50/2)+(DATA!N50/2)</f>
        <v>5066.7591385584865</v>
      </c>
      <c r="C21" s="6">
        <f>(DATA!N50/2)+(DATA!O50/2)</f>
        <v>5135.0170093728393</v>
      </c>
      <c r="D21" s="6">
        <f>(DATA!O50/2)+(DATA!P50/2)</f>
        <v>5204.7346250003702</v>
      </c>
      <c r="E21" s="6">
        <f>(DATA!P50/2)+(DATA!Q50/2)</f>
        <v>5275.9678915361692</v>
      </c>
      <c r="F21" s="6">
        <f>(DATA!Q50/2)+(DATA!R50/2)</f>
        <v>5348.7756764395426</v>
      </c>
      <c r="G21" s="6">
        <f>(DATA!R50/2)+(DATA!S50/2)</f>
        <v>5423.2199831972694</v>
      </c>
      <c r="H21" s="6">
        <f>(DATA!S50/2)+(DATA!T50/2)</f>
        <v>5499.3661366333217</v>
      </c>
      <c r="I21" s="6">
        <f>(DATA!T50/2)+(DATA!U50/2)</f>
        <v>5577.2829795222005</v>
      </c>
      <c r="J21" s="6">
        <f>(DATA!U50/2)+(DATA!V50/2)</f>
        <v>5657.0430812038621</v>
      </c>
      <c r="K21" s="6">
        <f>(DATA!V50/2)+(DATA!W50/2)</f>
        <v>5738.7229589416311</v>
      </c>
      <c r="L21" s="6">
        <f>(DATA!W50/2)+(DATA!X50/2)</f>
        <v>5822.4033128105784</v>
      </c>
      <c r="M21" s="6">
        <f>(DATA!X50/2)+(DATA!Y50/2)</f>
        <v>5908.1692749528975</v>
      </c>
      <c r="N21" s="7">
        <f t="shared" si="2"/>
        <v>65657.462068169174</v>
      </c>
    </row>
    <row r="22" spans="1:14" x14ac:dyDescent="0.25">
      <c r="A22" t="str">
        <f>IncomeStatement_Year5!A23</f>
        <v>Office Supplies</v>
      </c>
      <c r="B22" s="6">
        <f>(DATA!M52/2)+(DATA!N52/2)</f>
        <v>702.49868939265616</v>
      </c>
      <c r="C22" s="6">
        <f>(DATA!N52/2)+(DATA!O52/2)</f>
        <v>723.57365007443593</v>
      </c>
      <c r="D22" s="6">
        <f>(DATA!O52/2)+(DATA!P52/2)</f>
        <v>745.28085957666906</v>
      </c>
      <c r="E22" s="6">
        <f>(DATA!P52/2)+(DATA!Q52/2)</f>
        <v>767.63928536396918</v>
      </c>
      <c r="F22" s="6">
        <f>(DATA!Q52/2)+(DATA!R52/2)</f>
        <v>790.66846392488833</v>
      </c>
      <c r="G22" s="6">
        <f>(DATA!R52/2)+(DATA!S52/2)</f>
        <v>814.38851784263488</v>
      </c>
      <c r="H22" s="6">
        <f>(DATA!S52/2)+(DATA!T52/2)</f>
        <v>838.82017337791399</v>
      </c>
      <c r="I22" s="6">
        <f>(DATA!T52/2)+(DATA!U52/2)</f>
        <v>863.9847785792515</v>
      </c>
      <c r="J22" s="6">
        <f>(DATA!U52/2)+(DATA!V52/2)</f>
        <v>889.904321936629</v>
      </c>
      <c r="K22" s="6">
        <f>(DATA!V52/2)+(DATA!W52/2)</f>
        <v>916.60145159472791</v>
      </c>
      <c r="L22" s="6">
        <f>(DATA!W52/2)+(DATA!X52/2)</f>
        <v>944.09949514256982</v>
      </c>
      <c r="M22" s="6">
        <f>(DATA!X52/2)+(DATA!Y52/2)</f>
        <v>972.42247999684696</v>
      </c>
      <c r="N22" s="7">
        <f t="shared" si="2"/>
        <v>9969.8821668031924</v>
      </c>
    </row>
    <row r="23" spans="1:14" x14ac:dyDescent="0.25">
      <c r="A23" t="str">
        <f>IncomeStatement_Year5!A24</f>
        <v>Meals/Gifts/Entertainment</v>
      </c>
      <c r="B23" s="6">
        <f>(DATA!M54/2)+(DATA!N54/2)</f>
        <v>2107.4960681779689</v>
      </c>
      <c r="C23" s="6">
        <f>(DATA!N54/2)+(DATA!O54/2)</f>
        <v>2170.7209502233081</v>
      </c>
      <c r="D23" s="6">
        <f>(DATA!O54/2)+(DATA!P54/2)</f>
        <v>2235.8425787300075</v>
      </c>
      <c r="E23" s="6">
        <f>(DATA!P54/2)+(DATA!Q54/2)</f>
        <v>2302.9178560919081</v>
      </c>
      <c r="F23" s="6">
        <f>(DATA!Q54/2)+(DATA!R54/2)</f>
        <v>2372.0053917746654</v>
      </c>
      <c r="G23" s="6">
        <f>(DATA!R54/2)+(DATA!S54/2)</f>
        <v>2443.1655535279051</v>
      </c>
      <c r="H23" s="6">
        <f>(DATA!S54/2)+(DATA!T54/2)</f>
        <v>2516.4605201337426</v>
      </c>
      <c r="I23" s="6">
        <f>(DATA!T54/2)+(DATA!U54/2)</f>
        <v>2591.9543357377552</v>
      </c>
      <c r="J23" s="6">
        <f>(DATA!U54/2)+(DATA!V54/2)</f>
        <v>2669.7129658098875</v>
      </c>
      <c r="K23" s="6">
        <f>(DATA!V54/2)+(DATA!W54/2)</f>
        <v>2749.8043547841844</v>
      </c>
      <c r="L23" s="6">
        <f>(DATA!W54/2)+(DATA!X54/2)</f>
        <v>2832.2984854277101</v>
      </c>
      <c r="M23" s="6">
        <f>(DATA!X54/2)+(DATA!Y54/2)</f>
        <v>2917.2674399905413</v>
      </c>
      <c r="N23" s="7">
        <f t="shared" si="2"/>
        <v>29909.646500409588</v>
      </c>
    </row>
    <row r="24" spans="1:14" x14ac:dyDescent="0.25">
      <c r="A24" t="str">
        <f>IncomeStatement_Year5!A25</f>
        <v>Research and Development</v>
      </c>
      <c r="B24" s="6">
        <f>(DATA!M56/2)+(DATA!N56/2)</f>
        <v>84445.985642641434</v>
      </c>
      <c r="C24" s="6">
        <f>(DATA!N56/2)+(DATA!O56/2)</f>
        <v>85583.616822880664</v>
      </c>
      <c r="D24" s="6">
        <f>(DATA!O56/2)+(DATA!P56/2)</f>
        <v>86745.577083339507</v>
      </c>
      <c r="E24" s="6">
        <f>(DATA!P56/2)+(DATA!Q56/2)</f>
        <v>87932.798192269489</v>
      </c>
      <c r="F24" s="6">
        <f>(DATA!Q56/2)+(DATA!R56/2)</f>
        <v>89146.261273992379</v>
      </c>
      <c r="G24" s="6">
        <f>(DATA!R56/2)+(DATA!S56/2)</f>
        <v>90386.999719954489</v>
      </c>
      <c r="H24" s="6">
        <f>(DATA!S56/2)+(DATA!T56/2)</f>
        <v>91656.102277222031</v>
      </c>
      <c r="I24" s="6">
        <f>(DATA!T56/2)+(DATA!U56/2)</f>
        <v>92954.716325370013</v>
      </c>
      <c r="J24" s="6">
        <f>(DATA!U56/2)+(DATA!V56/2)</f>
        <v>94284.051353397706</v>
      </c>
      <c r="K24" s="6">
        <f>(DATA!V56/2)+(DATA!W56/2)</f>
        <v>95645.382649027189</v>
      </c>
      <c r="L24" s="6">
        <f>(DATA!W56/2)+(DATA!X56/2)</f>
        <v>97040.055213509651</v>
      </c>
      <c r="M24" s="6">
        <f>(DATA!X56/2)+(DATA!Y56/2)</f>
        <v>98469.487915881633</v>
      </c>
      <c r="N24" s="7">
        <f t="shared" si="2"/>
        <v>1094291.0344694862</v>
      </c>
    </row>
    <row r="25" spans="1:14" x14ac:dyDescent="0.25">
      <c r="A25" t="str">
        <f>IncomeStatement_Year5!A26</f>
        <v>Salaries and Wages</v>
      </c>
      <c r="B25" s="6">
        <f>(DATA!M58/2)+(DATA!N58/2)</f>
        <v>112133.33333333334</v>
      </c>
      <c r="C25" s="6">
        <f>(DATA!N58/2)+(DATA!O58/2)</f>
        <v>112133.33333333334</v>
      </c>
      <c r="D25" s="6">
        <f>(DATA!O58/2)+(DATA!P58/2)</f>
        <v>112133.33333333334</v>
      </c>
      <c r="E25" s="6">
        <f>(DATA!P58/2)+(DATA!Q58/2)</f>
        <v>112133.33333333334</v>
      </c>
      <c r="F25" s="6">
        <f>(DATA!Q58/2)+(DATA!R58/2)</f>
        <v>112133.33333333334</v>
      </c>
      <c r="G25" s="6">
        <f>(DATA!R58/2)+(DATA!S58/2)</f>
        <v>112133.33333333334</v>
      </c>
      <c r="H25" s="6">
        <f>(DATA!S58/2)+(DATA!T58/2)</f>
        <v>112133.33333333334</v>
      </c>
      <c r="I25" s="6">
        <f>(DATA!T58/2)+(DATA!U58/2)</f>
        <v>112133.33333333334</v>
      </c>
      <c r="J25" s="6">
        <f>(DATA!U58/2)+(DATA!V58/2)</f>
        <v>112133.33333333334</v>
      </c>
      <c r="K25" s="6">
        <f>(DATA!V58/2)+(DATA!W58/2)</f>
        <v>112133.33333333334</v>
      </c>
      <c r="L25" s="6">
        <f>(DATA!W58/2)+(DATA!X58/2)</f>
        <v>112133.33333333334</v>
      </c>
      <c r="M25" s="6">
        <f>(DATA!X58/2)+(DATA!Y58/2)</f>
        <v>112133.33333333334</v>
      </c>
      <c r="N25" s="7">
        <f t="shared" si="2"/>
        <v>1345600</v>
      </c>
    </row>
    <row r="26" spans="1:14" x14ac:dyDescent="0.25">
      <c r="A26" t="str">
        <f>IncomeStatement_Year5!A27</f>
        <v>Taxes and Licenses</v>
      </c>
      <c r="B26" s="6">
        <f>(DATA!M59/2)+(DATA!N59/2)</f>
        <v>1121.2466883986431</v>
      </c>
      <c r="C26" s="6">
        <f>(DATA!N59/2)+(DATA!O59/2)</f>
        <v>1132.4591552826296</v>
      </c>
      <c r="D26" s="6">
        <f>(DATA!O59/2)+(DATA!P59/2)</f>
        <v>1143.783746835456</v>
      </c>
      <c r="E26" s="6">
        <f>(DATA!P59/2)+(DATA!Q59/2)</f>
        <v>1155.2215843038102</v>
      </c>
      <c r="F26" s="6">
        <f>(DATA!Q59/2)+(DATA!R59/2)</f>
        <v>1166.7738001468483</v>
      </c>
      <c r="G26" s="6">
        <f>(DATA!R59/2)+(DATA!S59/2)</f>
        <v>1178.4415381483168</v>
      </c>
      <c r="H26" s="6">
        <f>(DATA!S59/2)+(DATA!T59/2)</f>
        <v>1190.2259535297999</v>
      </c>
      <c r="I26" s="6">
        <f>(DATA!T59/2)+(DATA!U59/2)</f>
        <v>1202.128213065098</v>
      </c>
      <c r="J26" s="6">
        <f>(DATA!U59/2)+(DATA!V59/2)</f>
        <v>1214.1494951957488</v>
      </c>
      <c r="K26" s="6">
        <f>(DATA!V59/2)+(DATA!W59/2)</f>
        <v>1226.2909901477065</v>
      </c>
      <c r="L26" s="6">
        <f>(DATA!W59/2)+(DATA!X59/2)</f>
        <v>1238.5539000491835</v>
      </c>
      <c r="M26" s="6">
        <f>(DATA!X59/2)+(DATA!Y59/2)</f>
        <v>1250.9394390496755</v>
      </c>
      <c r="N26" s="7">
        <f t="shared" si="2"/>
        <v>14220.214504152915</v>
      </c>
    </row>
    <row r="27" spans="1:14" x14ac:dyDescent="0.25">
      <c r="A27" t="str">
        <f>IncomeStatement_Year5!A28</f>
        <v>Telephone &amp; Internet</v>
      </c>
      <c r="B27" s="6">
        <f>(DATA!M61/2)+(DATA!N61/2)</f>
        <v>560.62334419932154</v>
      </c>
      <c r="C27" s="6">
        <f>(DATA!N61/2)+(DATA!O61/2)</f>
        <v>566.22957764131479</v>
      </c>
      <c r="D27" s="6">
        <f>(DATA!O61/2)+(DATA!P61/2)</f>
        <v>571.89187341772799</v>
      </c>
      <c r="E27" s="6">
        <f>(DATA!P61/2)+(DATA!Q61/2)</f>
        <v>577.61079215190512</v>
      </c>
      <c r="F27" s="6">
        <f>(DATA!Q61/2)+(DATA!R61/2)</f>
        <v>583.38690007342416</v>
      </c>
      <c r="G27" s="6">
        <f>(DATA!R61/2)+(DATA!S61/2)</f>
        <v>589.2207690741584</v>
      </c>
      <c r="H27" s="6">
        <f>(DATA!S61/2)+(DATA!T61/2)</f>
        <v>595.11297676489994</v>
      </c>
      <c r="I27" s="6">
        <f>(DATA!T61/2)+(DATA!U61/2)</f>
        <v>601.06410653254898</v>
      </c>
      <c r="J27" s="6">
        <f>(DATA!U61/2)+(DATA!V61/2)</f>
        <v>607.07474759787442</v>
      </c>
      <c r="K27" s="6">
        <f>(DATA!V61/2)+(DATA!W61/2)</f>
        <v>613.14549507385323</v>
      </c>
      <c r="L27" s="6">
        <f>(DATA!W61/2)+(DATA!X61/2)</f>
        <v>619.27695002459177</v>
      </c>
      <c r="M27" s="6">
        <f>(DATA!X61/2)+(DATA!Y61/2)</f>
        <v>625.46971952483773</v>
      </c>
      <c r="N27" s="7">
        <f t="shared" si="2"/>
        <v>7110.1072520764574</v>
      </c>
    </row>
    <row r="28" spans="1:14" x14ac:dyDescent="0.25">
      <c r="A28" t="s">
        <v>72</v>
      </c>
      <c r="B28" s="6">
        <f>LoanModule!D21</f>
        <v>0</v>
      </c>
      <c r="C28" s="6">
        <f>LoanModule!D22</f>
        <v>0</v>
      </c>
      <c r="D28" s="6">
        <f>LoanModule!D23</f>
        <v>0</v>
      </c>
      <c r="E28" s="6">
        <f>LoanModule!D24</f>
        <v>0</v>
      </c>
      <c r="F28" s="6">
        <f>LoanModule!D25</f>
        <v>0</v>
      </c>
      <c r="G28" s="6">
        <f>LoanModule!D26</f>
        <v>0</v>
      </c>
      <c r="H28" s="6">
        <f>LoanModule!D27</f>
        <v>0</v>
      </c>
      <c r="I28" s="6">
        <f>LoanModule!D28</f>
        <v>0</v>
      </c>
      <c r="J28" s="6">
        <f>LoanModule!D29</f>
        <v>0</v>
      </c>
      <c r="K28" s="6">
        <f>LoanModule!D30</f>
        <v>0</v>
      </c>
      <c r="L28" s="6">
        <f>LoanModule!D31</f>
        <v>0</v>
      </c>
      <c r="M28" s="6">
        <f>LoanModule!D32</f>
        <v>0</v>
      </c>
      <c r="N28" s="7">
        <f t="shared" si="2"/>
        <v>0</v>
      </c>
    </row>
    <row r="29" spans="1:14" x14ac:dyDescent="0.25">
      <c r="A29" t="s">
        <v>89</v>
      </c>
      <c r="B29" s="6">
        <f>LoanModule!E21</f>
        <v>0</v>
      </c>
      <c r="C29" s="6">
        <f>LoanModule!E22</f>
        <v>0</v>
      </c>
      <c r="D29" s="6">
        <f>LoanModule!E23</f>
        <v>0</v>
      </c>
      <c r="E29" s="6">
        <f>LoanModule!E24</f>
        <v>0</v>
      </c>
      <c r="F29" s="6">
        <f>LoanModule!E25</f>
        <v>0</v>
      </c>
      <c r="G29" s="6">
        <f>LoanModule!E26</f>
        <v>0</v>
      </c>
      <c r="H29" s="6">
        <f>LoanModule!E27</f>
        <v>0</v>
      </c>
      <c r="I29" s="6">
        <f>LoanModule!E28</f>
        <v>0</v>
      </c>
      <c r="J29" s="6">
        <f>LoanModule!E29</f>
        <v>0</v>
      </c>
      <c r="K29" s="6">
        <f>LoanModule!E30</f>
        <v>0</v>
      </c>
      <c r="L29" s="6">
        <f>LoanModule!E31</f>
        <v>0</v>
      </c>
      <c r="M29" s="6">
        <f>LoanModule!E32</f>
        <v>0</v>
      </c>
      <c r="N29" s="7">
        <f t="shared" si="2"/>
        <v>0</v>
      </c>
    </row>
    <row r="30" spans="1:14" x14ac:dyDescent="0.25">
      <c r="A30" t="s">
        <v>18</v>
      </c>
      <c r="B30" s="6">
        <f>DATA!N40</f>
        <v>0</v>
      </c>
      <c r="C30" s="6">
        <f>DATA!O40</f>
        <v>0</v>
      </c>
      <c r="D30" s="6">
        <f>DATA!P40</f>
        <v>0</v>
      </c>
      <c r="E30" s="6">
        <f>DATA!Q40</f>
        <v>0</v>
      </c>
      <c r="F30" s="6">
        <f>DATA!R40</f>
        <v>0</v>
      </c>
      <c r="G30" s="6">
        <f>DATA!S40</f>
        <v>0</v>
      </c>
      <c r="H30" s="6">
        <f>DATA!T40</f>
        <v>0</v>
      </c>
      <c r="I30" s="6">
        <f>DATA!U40</f>
        <v>0</v>
      </c>
      <c r="J30" s="6">
        <f>DATA!V40</f>
        <v>0</v>
      </c>
      <c r="K30" s="6">
        <f>DATA!W40</f>
        <v>0</v>
      </c>
      <c r="L30" s="6">
        <f>DATA!X40</f>
        <v>0</v>
      </c>
      <c r="M30" s="6">
        <f>DATA!Y40</f>
        <v>0</v>
      </c>
      <c r="N30" s="7">
        <f t="shared" si="2"/>
        <v>0</v>
      </c>
    </row>
    <row r="31" spans="1:14" x14ac:dyDescent="0.25">
      <c r="A31" t="s">
        <v>90</v>
      </c>
      <c r="B31" s="6">
        <f>IF(DATA!E19=B5,DATA!B19,0)+IF(DATA!E22=B5,DATA!B22,0)</f>
        <v>0</v>
      </c>
      <c r="C31" s="6">
        <f>IF(DATA!E19=C5,DATA!B19,0)+IF(DATA!E22=C5,DATA!B22,0)</f>
        <v>0</v>
      </c>
      <c r="D31" s="6">
        <f>IF(DATA!E19=D5,DATA!B19,0)+IF(DATA!E22=D5,DATA!B22,0)</f>
        <v>0</v>
      </c>
      <c r="E31" s="6">
        <f>IF(DATA!E19=E5,DATA!B19,0)+IF(DATA!E22=E5,DATA!B22,0)</f>
        <v>0</v>
      </c>
      <c r="F31" s="6">
        <f>IF(DATA!E19=F5,DATA!B19,0)+IF(DATA!E22=F5,DATA!B22,0)</f>
        <v>0</v>
      </c>
      <c r="G31" s="6">
        <f>IF(DATA!E19=G5,DATA!B19,0)+IF(DATA!E22=G5,DATA!B22,0)</f>
        <v>0</v>
      </c>
      <c r="H31" s="6">
        <f>IF(DATA!E19=H5,DATA!B19,0)+IF(DATA!E22=H5,DATA!B22,0)</f>
        <v>0</v>
      </c>
      <c r="I31" s="6">
        <f>IF(DATA!E19=I5,DATA!B19,0)+IF(DATA!E22=I5,DATA!B22,0)</f>
        <v>0</v>
      </c>
      <c r="J31" s="6">
        <f>IF(DATA!E19=J5,DATA!B19,0)+IF(DATA!E22=J5,DATA!B22,0)</f>
        <v>0</v>
      </c>
      <c r="K31" s="6">
        <f>IF(DATA!E19=K5,DATA!B19,0)+IF(DATA!E22=K5,DATA!B22,0)</f>
        <v>0</v>
      </c>
      <c r="L31" s="6">
        <f>IF(DATA!E19=L5,DATA!B19,0)+IF(DATA!E22=L5,DATA!B22,0)</f>
        <v>0</v>
      </c>
      <c r="M31" s="6">
        <f>IF(DATA!E19=M5,DATA!B19,0)+IF(DATA!E22=M5,DATA!B22,0)</f>
        <v>0</v>
      </c>
      <c r="N31" s="7">
        <f t="shared" si="2"/>
        <v>0</v>
      </c>
    </row>
    <row r="32" spans="1:14" x14ac:dyDescent="0.25">
      <c r="A32" t="s">
        <v>91</v>
      </c>
      <c r="B32" s="6">
        <f>((DATA!B74*DATA!M79)/2)+((DATA!B74*DATA!N79)/2)</f>
        <v>0</v>
      </c>
      <c r="C32" s="6">
        <f>((DATA!B74*DATA!N79)/2)+((DATA!B74*DATA!O79)/2)</f>
        <v>0</v>
      </c>
      <c r="D32" s="6">
        <f>((DATA!B74*DATA!O79)/2)+((DATA!B74*DATA!P79)/2)</f>
        <v>0</v>
      </c>
      <c r="E32" s="6">
        <f>((DATA!B74*DATA!P79)/2)+((DATA!B74*DATA!Q79)/2)</f>
        <v>0</v>
      </c>
      <c r="F32" s="6">
        <f>((DATA!B74*DATA!Q79)/2)+((DATA!B74*DATA!R79)/2)</f>
        <v>0</v>
      </c>
      <c r="G32" s="6">
        <f>((DATA!B74*DATA!R79)/2)+((DATA!B74*DATA!S79)/2)</f>
        <v>0</v>
      </c>
      <c r="H32" s="6">
        <f>((DATA!B74*DATA!S79)/2)+((DATA!B74*DATA!T79)/2)</f>
        <v>0</v>
      </c>
      <c r="I32" s="6">
        <f>((DATA!B74*DATA!T79)/2)+((DATA!B74*DATA!U79)/2)</f>
        <v>0</v>
      </c>
      <c r="J32" s="6">
        <f>((DATA!B74*DATA!U79)/2)+((DATA!B74*DATA!V79)/2)</f>
        <v>0</v>
      </c>
      <c r="K32" s="6">
        <f>((DATA!B74*DATA!V79)/2)+((DATA!B74*DATA!W79)/2)</f>
        <v>0</v>
      </c>
      <c r="L32" s="6">
        <f>((DATA!B74*DATA!W79)/2)+((DATA!B74*DATA!X79)/2)</f>
        <v>0</v>
      </c>
      <c r="M32" s="6">
        <f>((DATA!B74*DATA!X79)/2)+((DATA!B74*DATA!Y79)/2)</f>
        <v>0</v>
      </c>
      <c r="N32" s="7">
        <f t="shared" si="2"/>
        <v>0</v>
      </c>
    </row>
    <row r="33" spans="1:14" x14ac:dyDescent="0.25">
      <c r="A33" t="s">
        <v>77</v>
      </c>
      <c r="B33" s="6">
        <f>IncomeStatement_Year2!B36</f>
        <v>29352.739179005948</v>
      </c>
      <c r="C33" s="6">
        <f>IncomeStatement_Year2!C36</f>
        <v>29352.739179005948</v>
      </c>
      <c r="D33" s="6">
        <f>IncomeStatement_Year2!D36</f>
        <v>29352.739179005948</v>
      </c>
      <c r="E33" s="6">
        <f>IncomeStatement_Year2!E36</f>
        <v>29352.739179005948</v>
      </c>
      <c r="F33" s="6">
        <f>IncomeStatement_Year2!F36</f>
        <v>29352.739179005948</v>
      </c>
      <c r="G33" s="6">
        <f>IncomeStatement_Year2!G36</f>
        <v>29352.739179005948</v>
      </c>
      <c r="H33" s="6">
        <f>IncomeStatement_Year2!H36</f>
        <v>29352.739179005948</v>
      </c>
      <c r="I33" s="6">
        <f>IncomeStatement_Year2!I36</f>
        <v>29352.739179005948</v>
      </c>
      <c r="J33" s="6">
        <f>IncomeStatement_Year2!J36</f>
        <v>29352.739179005948</v>
      </c>
      <c r="K33" s="6">
        <f>IncomeStatement_Year2!K36</f>
        <v>29352.739179005948</v>
      </c>
      <c r="L33" s="6">
        <f>IncomeStatement_Year2!L36</f>
        <v>29352.739179005948</v>
      </c>
      <c r="M33" s="6">
        <f>IncomeStatement_Year2!M36</f>
        <v>29352.739179005948</v>
      </c>
      <c r="N33" s="7">
        <f t="shared" si="2"/>
        <v>352232.8701480715</v>
      </c>
    </row>
    <row r="34" spans="1:14" x14ac:dyDescent="0.25">
      <c r="A34" t="s">
        <v>92</v>
      </c>
      <c r="B34" s="6">
        <f>'Inventory Module'!M26-'Inventory Module'!N26</f>
        <v>362680.84016654821</v>
      </c>
      <c r="C34" s="6">
        <f>'Inventory Module'!N26-'Inventory Module'!O26</f>
        <v>367500.87822781573</v>
      </c>
      <c r="D34" s="6">
        <f>'Inventory Module'!O26-'Inventory Module'!P26</f>
        <v>-607577.83617782942</v>
      </c>
      <c r="E34" s="6">
        <f>'Inventory Module'!P26-'Inventory Module'!Q26</f>
        <v>377448.57173835242</v>
      </c>
      <c r="F34" s="6">
        <f>'Inventory Module'!Q26-'Inventory Module'!R26</f>
        <v>-597415.81811453612</v>
      </c>
      <c r="G34" s="6">
        <f>'Inventory Module'!R26-'Inventory Module'!S26</f>
        <v>387833.29127782036</v>
      </c>
      <c r="H34" s="6">
        <f>'Inventory Module'!S26-'Inventory Module'!T26</f>
        <v>393200.42673841445</v>
      </c>
      <c r="I34" s="6">
        <f>'Inventory Module'!T26-'Inventory Module'!U26</f>
        <v>-587541.91069750988</v>
      </c>
      <c r="J34" s="6">
        <f>'Inventory Module'!U26-'Inventory Module'!V26</f>
        <v>404295.64303027827</v>
      </c>
      <c r="K34" s="6">
        <f>'Inventory Module'!V26-'Inventory Module'!W26</f>
        <v>-569953.50235421653</v>
      </c>
      <c r="L34" s="6">
        <f>'Inventory Module'!W26-'Inventory Module'!X26</f>
        <v>415936.06538476131</v>
      </c>
      <c r="M34" s="6">
        <f>'Inventory Module'!X26-'Inventory Module'!Y26</f>
        <v>402338.0470464289</v>
      </c>
      <c r="N34" s="7">
        <f t="shared" si="2"/>
        <v>748744.69626632775</v>
      </c>
    </row>
    <row r="35" spans="1:14" x14ac:dyDescent="0.25">
      <c r="A35" s="4" t="s">
        <v>93</v>
      </c>
      <c r="B35" s="9">
        <f t="shared" ref="B35:M35" si="3">SUM(B15:B33)-B34</f>
        <v>342290.61105888378</v>
      </c>
      <c r="C35" s="9">
        <f t="shared" si="3"/>
        <v>343123.83134621393</v>
      </c>
      <c r="D35" s="9">
        <f t="shared" si="3"/>
        <v>1325535.1649812458</v>
      </c>
      <c r="E35" s="9">
        <f t="shared" si="3"/>
        <v>347996.60555213201</v>
      </c>
      <c r="F35" s="9">
        <f t="shared" si="3"/>
        <v>1330510.0695760436</v>
      </c>
      <c r="G35" s="9">
        <f t="shared" si="3"/>
        <v>353077.57284529647</v>
      </c>
      <c r="H35" s="9">
        <f t="shared" si="3"/>
        <v>355701.23612747039</v>
      </c>
      <c r="I35" s="9">
        <f t="shared" si="3"/>
        <v>1344615.560267335</v>
      </c>
      <c r="J35" s="9">
        <f t="shared" si="3"/>
        <v>361138.55804820883</v>
      </c>
      <c r="K35" s="9">
        <f t="shared" si="3"/>
        <v>1343944.5934665995</v>
      </c>
      <c r="L35" s="9">
        <f t="shared" si="3"/>
        <v>366816.4481120233</v>
      </c>
      <c r="M35" s="9">
        <f t="shared" si="3"/>
        <v>389389.05973707861</v>
      </c>
      <c r="N35" s="9">
        <f t="shared" si="2"/>
        <v>8204139.311118531</v>
      </c>
    </row>
    <row r="37" spans="1:14" x14ac:dyDescent="0.25">
      <c r="A37" s="4" t="s">
        <v>94</v>
      </c>
      <c r="B37" s="10">
        <f t="shared" ref="B37:M37" si="4">B12-B35</f>
        <v>507797.71331375703</v>
      </c>
      <c r="C37" s="10">
        <f t="shared" si="4"/>
        <v>518460.18073875818</v>
      </c>
      <c r="D37" s="10">
        <f t="shared" si="4"/>
        <v>-452207.63539942785</v>
      </c>
      <c r="E37" s="10">
        <f t="shared" si="4"/>
        <v>537331.82871143962</v>
      </c>
      <c r="F37" s="10">
        <f t="shared" si="4"/>
        <v>-432913.27835976775</v>
      </c>
      <c r="G37" s="10">
        <f t="shared" si="4"/>
        <v>557065.63033751736</v>
      </c>
      <c r="H37" s="10">
        <f t="shared" si="4"/>
        <v>567277.60623415629</v>
      </c>
      <c r="I37" s="10">
        <f t="shared" si="4"/>
        <v>-408500.07612156158</v>
      </c>
      <c r="J37" s="10">
        <f t="shared" si="4"/>
        <v>588426.98487397179</v>
      </c>
      <c r="K37" s="10">
        <f t="shared" si="4"/>
        <v>-380602.48340823653</v>
      </c>
      <c r="L37" s="10">
        <f t="shared" si="4"/>
        <v>610642.54609980679</v>
      </c>
      <c r="M37" s="10">
        <f t="shared" si="4"/>
        <v>602541.70436872379</v>
      </c>
      <c r="N37" s="10">
        <f>SUM(B37:M37)</f>
        <v>2815320.7213891372</v>
      </c>
    </row>
    <row r="39" spans="1:14" x14ac:dyDescent="0.25">
      <c r="A39" s="4" t="s">
        <v>95</v>
      </c>
      <c r="B39" s="7">
        <f>B37</f>
        <v>507797.71331375703</v>
      </c>
      <c r="C39" s="7">
        <f t="shared" ref="C39:M39" si="5">B39+C37</f>
        <v>1026257.8940525153</v>
      </c>
      <c r="D39" s="7">
        <f t="shared" si="5"/>
        <v>574050.25865308743</v>
      </c>
      <c r="E39" s="7">
        <f t="shared" si="5"/>
        <v>1111382.0873645269</v>
      </c>
      <c r="F39" s="7">
        <f t="shared" si="5"/>
        <v>678468.80900475918</v>
      </c>
      <c r="G39" s="7">
        <f t="shared" si="5"/>
        <v>1235534.4393422767</v>
      </c>
      <c r="H39" s="7">
        <f t="shared" si="5"/>
        <v>1802812.045576433</v>
      </c>
      <c r="I39" s="7">
        <f t="shared" si="5"/>
        <v>1394311.9694548715</v>
      </c>
      <c r="J39" s="7">
        <f t="shared" si="5"/>
        <v>1982738.9543288434</v>
      </c>
      <c r="K39" s="7">
        <f t="shared" si="5"/>
        <v>1602136.470920607</v>
      </c>
      <c r="L39" s="7">
        <f t="shared" si="5"/>
        <v>2212779.0170204137</v>
      </c>
      <c r="M39" s="7">
        <f t="shared" si="5"/>
        <v>2815320.7213891372</v>
      </c>
      <c r="N39" s="7">
        <f>M39</f>
        <v>2815320.7213891372</v>
      </c>
    </row>
    <row r="44" spans="1:14" x14ac:dyDescent="0.25">
      <c r="A44" t="s">
        <v>79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4" workbookViewId="0">
      <selection activeCell="G22" sqref="G22"/>
    </sheetView>
  </sheetViews>
  <sheetFormatPr defaultColWidth="8.85546875" defaultRowHeight="15" x14ac:dyDescent="0.25"/>
  <cols>
    <col min="1" max="1" width="29.42578125" bestFit="1" customWidth="1"/>
    <col min="2" max="5" width="10.85546875" bestFit="1" customWidth="1"/>
    <col min="6" max="14" width="11.85546875" bestFit="1" customWidth="1"/>
  </cols>
  <sheetData>
    <row r="1" spans="1:14" x14ac:dyDescent="0.25">
      <c r="A1" t="str">
        <f>DATA!B1</f>
        <v>Example Manufacturing Company</v>
      </c>
    </row>
    <row r="2" spans="1:14" x14ac:dyDescent="0.25">
      <c r="A2" t="s">
        <v>82</v>
      </c>
    </row>
    <row r="3" spans="1:14" x14ac:dyDescent="0.25">
      <c r="A3" t="s">
        <v>81</v>
      </c>
    </row>
    <row r="5" spans="1:14" x14ac:dyDescent="0.25">
      <c r="B5">
        <v>25</v>
      </c>
      <c r="C5">
        <v>26</v>
      </c>
      <c r="D5">
        <v>27</v>
      </c>
      <c r="E5">
        <v>28</v>
      </c>
      <c r="F5">
        <v>29</v>
      </c>
      <c r="G5">
        <v>30</v>
      </c>
      <c r="H5">
        <v>31</v>
      </c>
      <c r="I5">
        <v>32</v>
      </c>
      <c r="J5">
        <v>33</v>
      </c>
      <c r="K5">
        <v>34</v>
      </c>
      <c r="L5">
        <v>35</v>
      </c>
      <c r="M5">
        <v>36</v>
      </c>
      <c r="N5" s="4" t="s">
        <v>81</v>
      </c>
    </row>
    <row r="7" spans="1:14" x14ac:dyDescent="0.25">
      <c r="A7" s="4" t="s">
        <v>83</v>
      </c>
      <c r="B7" s="6">
        <f>CashFlowStatement_Year2!M7+CashFlowStatement_Year2!M37</f>
        <v>7516255.024240193</v>
      </c>
      <c r="C7" s="6">
        <f t="shared" ref="C7:M7" si="0">B7+B37</f>
        <v>7160124.16181067</v>
      </c>
      <c r="D7" s="6">
        <f t="shared" si="0"/>
        <v>7796135.3663658211</v>
      </c>
      <c r="E7" s="6">
        <f t="shared" si="0"/>
        <v>7458294.4561892282</v>
      </c>
      <c r="F7" s="6">
        <f t="shared" si="0"/>
        <v>8119569.5798244402</v>
      </c>
      <c r="G7" s="6">
        <f t="shared" si="0"/>
        <v>7814009.4209187189</v>
      </c>
      <c r="H7" s="6">
        <f t="shared" si="0"/>
        <v>8501986.552649105</v>
      </c>
      <c r="I7" s="6">
        <f t="shared" si="0"/>
        <v>8223890.9045576528</v>
      </c>
      <c r="J7" s="6">
        <f t="shared" si="0"/>
        <v>8933747.1787952781</v>
      </c>
      <c r="K7" s="6">
        <f t="shared" si="0"/>
        <v>8684737.4345834218</v>
      </c>
      <c r="L7" s="6">
        <f t="shared" si="0"/>
        <v>9430939.0421409812</v>
      </c>
      <c r="M7" s="6">
        <f t="shared" si="0"/>
        <v>9192753.2353379056</v>
      </c>
      <c r="N7" s="7">
        <f>M7</f>
        <v>9192753.2353379056</v>
      </c>
    </row>
    <row r="9" spans="1:14" x14ac:dyDescent="0.25">
      <c r="A9" s="4" t="s">
        <v>84</v>
      </c>
    </row>
    <row r="10" spans="1:14" x14ac:dyDescent="0.25">
      <c r="A10" t="s">
        <v>31</v>
      </c>
      <c r="B10" s="6">
        <f>DATA!Z85</f>
        <v>1006772.7939237964</v>
      </c>
      <c r="C10" s="6">
        <f>DATA!AA85</f>
        <v>1022001.3114851539</v>
      </c>
      <c r="D10" s="6">
        <f>DATA!AB85</f>
        <v>1037633.449373667</v>
      </c>
      <c r="E10" s="6">
        <f>DATA!AC85</f>
        <v>1053687.2992021989</v>
      </c>
      <c r="F10" s="6">
        <f>DATA!AD85</f>
        <v>1070181.9692075853</v>
      </c>
      <c r="G10" s="6">
        <f>DATA!AE85</f>
        <v>1087137.6453822213</v>
      </c>
      <c r="H10" s="6">
        <f>DATA!AF85</f>
        <v>1104575.656361626</v>
      </c>
      <c r="I10" s="6">
        <f>DATA!AG85</f>
        <v>1122518.5423009391</v>
      </c>
      <c r="J10" s="6">
        <f>DATA!AH85</f>
        <v>1140990.1279878663</v>
      </c>
      <c r="K10" s="6">
        <f>DATA!AI85</f>
        <v>1160015.6004550301</v>
      </c>
      <c r="L10" s="6">
        <f>DATA!AJ85</f>
        <v>1179621.5913711197</v>
      </c>
      <c r="M10" s="6">
        <f>DATA!AK85</f>
        <v>1199836.2645076837</v>
      </c>
      <c r="N10" s="7">
        <f>SUM(B10:M10)</f>
        <v>13184972.251558887</v>
      </c>
    </row>
    <row r="11" spans="1:14" x14ac:dyDescent="0.25">
      <c r="A11" t="s">
        <v>58</v>
      </c>
      <c r="B11" s="6">
        <f>0</f>
        <v>0</v>
      </c>
      <c r="C11" s="6">
        <f>0</f>
        <v>0</v>
      </c>
      <c r="D11" s="6">
        <f>0</f>
        <v>0</v>
      </c>
      <c r="E11" s="6">
        <f>0</f>
        <v>0</v>
      </c>
      <c r="F11" s="6">
        <f>0</f>
        <v>0</v>
      </c>
      <c r="G11" s="6">
        <f>0</f>
        <v>0</v>
      </c>
      <c r="H11" s="6">
        <f>0</f>
        <v>0</v>
      </c>
      <c r="I11" s="6">
        <f>0</f>
        <v>0</v>
      </c>
      <c r="J11" s="6">
        <f>0</f>
        <v>0</v>
      </c>
      <c r="K11" s="6">
        <f>0</f>
        <v>0</v>
      </c>
      <c r="L11" s="6">
        <f>0</f>
        <v>0</v>
      </c>
      <c r="M11" s="6">
        <f>0</f>
        <v>0</v>
      </c>
      <c r="N11" s="7">
        <f>SUM(B11:M11)</f>
        <v>0</v>
      </c>
    </row>
    <row r="12" spans="1:14" x14ac:dyDescent="0.25">
      <c r="A12" s="4" t="s">
        <v>85</v>
      </c>
      <c r="B12" s="9">
        <f t="shared" ref="B12:M12" si="1">SUM(B10:B11)</f>
        <v>1006772.7939237964</v>
      </c>
      <c r="C12" s="9">
        <f t="shared" si="1"/>
        <v>1022001.3114851539</v>
      </c>
      <c r="D12" s="9">
        <f t="shared" si="1"/>
        <v>1037633.449373667</v>
      </c>
      <c r="E12" s="9">
        <f t="shared" si="1"/>
        <v>1053687.2992021989</v>
      </c>
      <c r="F12" s="9">
        <f t="shared" si="1"/>
        <v>1070181.9692075853</v>
      </c>
      <c r="G12" s="9">
        <f t="shared" si="1"/>
        <v>1087137.6453822213</v>
      </c>
      <c r="H12" s="9">
        <f t="shared" si="1"/>
        <v>1104575.656361626</v>
      </c>
      <c r="I12" s="9">
        <f t="shared" si="1"/>
        <v>1122518.5423009391</v>
      </c>
      <c r="J12" s="9">
        <f t="shared" si="1"/>
        <v>1140990.1279878663</v>
      </c>
      <c r="K12" s="9">
        <f t="shared" si="1"/>
        <v>1160015.6004550301</v>
      </c>
      <c r="L12" s="9">
        <f t="shared" si="1"/>
        <v>1179621.5913711197</v>
      </c>
      <c r="M12" s="9">
        <f t="shared" si="1"/>
        <v>1199836.2645076837</v>
      </c>
      <c r="N12" s="9">
        <f>SUM(B12:M12)</f>
        <v>13184972.251558887</v>
      </c>
    </row>
    <row r="14" spans="1:14" x14ac:dyDescent="0.25">
      <c r="A14" s="4" t="s">
        <v>86</v>
      </c>
    </row>
    <row r="15" spans="1:14" x14ac:dyDescent="0.25">
      <c r="A15" t="s">
        <v>87</v>
      </c>
      <c r="B15" s="6">
        <f>(DATA!Y80/2)+(DATA!Z80/2)</f>
        <v>374479.39034415613</v>
      </c>
      <c r="C15" s="6">
        <f>(DATA!Z80/2)+(DATA!AA80/2)</f>
        <v>379665.86894619698</v>
      </c>
      <c r="D15" s="6">
        <f>(DATA!AA80/2)+(DATA!AB80/2)</f>
        <v>384984.82267904805</v>
      </c>
      <c r="E15" s="6">
        <f>(DATA!AB80/2)+(DATA!AC80/2)</f>
        <v>390442.16404610343</v>
      </c>
      <c r="F15" s="6">
        <f>(DATA!AC80/2)+(DATA!AD80/2)</f>
        <v>396044.13271524967</v>
      </c>
      <c r="G15" s="6">
        <f>(DATA!AD80/2)+(DATA!AE80/2)</f>
        <v>401797.31467069843</v>
      </c>
      <c r="H15" s="6">
        <f>(DATA!AE80/2)+(DATA!AF80/2)</f>
        <v>407708.66250292695</v>
      </c>
      <c r="I15" s="6">
        <f>(DATA!AF80/2)+(DATA!AG80/2)</f>
        <v>413785.51690469764</v>
      </c>
      <c r="J15" s="6">
        <f>(DATA!AG80/2)+(DATA!AH80/2)</f>
        <v>420035.62944519671</v>
      </c>
      <c r="K15" s="6">
        <f>(DATA!AH80/2)+(DATA!AI80/2)</f>
        <v>426467.1866986471</v>
      </c>
      <c r="L15" s="6">
        <f>(DATA!AI80/2)+(DATA!AJ80/2)</f>
        <v>433088.83580832102</v>
      </c>
      <c r="M15" s="6">
        <f>(DATA!AJ80/2)+(DATA!AK80/2)</f>
        <v>439909.71157172596</v>
      </c>
      <c r="N15" s="7">
        <f t="shared" ref="N15:N35" si="2">SUM(B15:M15)</f>
        <v>4868409.2363329679</v>
      </c>
    </row>
    <row r="16" spans="1:14" x14ac:dyDescent="0.25">
      <c r="A16" t="s">
        <v>88</v>
      </c>
      <c r="B16" s="6">
        <f>(DATA!Y81/2)+(DATA!Z81/2)</f>
        <v>19952.867866783392</v>
      </c>
      <c r="C16" s="6">
        <f>(DATA!Z81/2)+(DATA!AA81/2)</f>
        <v>20249.73668285142</v>
      </c>
      <c r="D16" s="6">
        <f>(DATA!AA81/2)+(DATA!AB81/2)</f>
        <v>20554.344433095241</v>
      </c>
      <c r="E16" s="6">
        <f>(DATA!AB81/2)+(DATA!AC81/2)</f>
        <v>20867.035941376002</v>
      </c>
      <c r="F16" s="6">
        <f>(DATA!AC81/2)+(DATA!AD81/2)</f>
        <v>21188.175350805588</v>
      </c>
      <c r="G16" s="6">
        <f>(DATA!AD81/2)+(DATA!AE81/2)</f>
        <v>21518.14727990688</v>
      </c>
      <c r="H16" s="6">
        <f>(DATA!AE81/2)+(DATA!AF81/2)</f>
        <v>21857.358049309965</v>
      </c>
      <c r="I16" s="6">
        <f>(DATA!AF81/2)+(DATA!AG81/2)</f>
        <v>22206.236983319493</v>
      </c>
      <c r="J16" s="6">
        <f>(DATA!AG81/2)+(DATA!AH81/2)</f>
        <v>22565.237790955893</v>
      </c>
      <c r="K16" s="6">
        <f>(DATA!AH81/2)+(DATA!AI81/2)</f>
        <v>22934.840031357398</v>
      </c>
      <c r="L16" s="6">
        <f>(DATA!AI81/2)+(DATA!AJ81/2)</f>
        <v>23315.550668731645</v>
      </c>
      <c r="M16" s="6">
        <f>(DATA!AJ81/2)+(DATA!AK81/2)</f>
        <v>23707.905722365962</v>
      </c>
      <c r="N16" s="7">
        <f t="shared" si="2"/>
        <v>260917.43680085888</v>
      </c>
    </row>
    <row r="17" spans="1:14" x14ac:dyDescent="0.25">
      <c r="A17" t="str">
        <f>IncomeStatement_Year5!A18</f>
        <v>Professional, Accounting and Legal</v>
      </c>
      <c r="B17" s="6">
        <f>(DATA!Y43/2)+(DATA!Z43/2)</f>
        <v>35977.312265517983</v>
      </c>
      <c r="C17" s="6">
        <f>(DATA!Z43/2)+(DATA!AA43/2)</f>
        <v>36503.546844656637</v>
      </c>
      <c r="D17" s="6">
        <f>(DATA!AA43/2)+(DATA!AB43/2)</f>
        <v>37043.608315029371</v>
      </c>
      <c r="E17" s="6">
        <f>(DATA!AB43/2)+(DATA!AC43/2)</f>
        <v>37598.113100077659</v>
      </c>
      <c r="F17" s="6">
        <f>(DATA!AC43/2)+(DATA!AD43/2)</f>
        <v>38167.712197171226</v>
      </c>
      <c r="G17" s="6">
        <f>(DATA!AD43/2)+(DATA!AE43/2)</f>
        <v>38753.093255321619</v>
      </c>
      <c r="H17" s="6">
        <f>(DATA!AE43/2)+(DATA!AF43/2)</f>
        <v>39354.982780517334</v>
      </c>
      <c r="I17" s="6">
        <f>(DATA!AF43/2)+(DATA!AG43/2)</f>
        <v>39974.148476594899</v>
      </c>
      <c r="J17" s="6">
        <f>(DATA!AG43/2)+(DATA!AH43/2)</f>
        <v>40611.401730054102</v>
      </c>
      <c r="K17" s="6">
        <f>(DATA!AH43/2)+(DATA!AI43/2)</f>
        <v>41267.600247750685</v>
      </c>
      <c r="L17" s="6">
        <f>(DATA!AI43/2)+(DATA!AJ43/2)</f>
        <v>41943.650856957625</v>
      </c>
      <c r="M17" s="6">
        <f>(DATA!AJ43/2)+(DATA!AK43/2)</f>
        <v>42640.512477879063</v>
      </c>
      <c r="N17" s="7">
        <f t="shared" si="2"/>
        <v>469835.68254752818</v>
      </c>
    </row>
    <row r="18" spans="1:14" x14ac:dyDescent="0.25">
      <c r="A18" t="str">
        <f>IncomeStatement_Year5!A19</f>
        <v>Marketing &amp; Advertising</v>
      </c>
      <c r="B18" s="6">
        <f>(DATA!Y45/2)+(DATA!Z45/2)</f>
        <v>12262.909901477069</v>
      </c>
      <c r="C18" s="6">
        <f>(DATA!Z45/2)+(DATA!AA45/2)</f>
        <v>12385.539000491841</v>
      </c>
      <c r="D18" s="6">
        <f>(DATA!AA45/2)+(DATA!AB45/2)</f>
        <v>12509.39439049676</v>
      </c>
      <c r="E18" s="6">
        <f>(DATA!AB45/2)+(DATA!AC45/2)</f>
        <v>12634.488334401727</v>
      </c>
      <c r="F18" s="6">
        <f>(DATA!AC45/2)+(DATA!AD45/2)</f>
        <v>12760.833217745745</v>
      </c>
      <c r="G18" s="6">
        <f>(DATA!AD45/2)+(DATA!AE45/2)</f>
        <v>12888.441549923202</v>
      </c>
      <c r="H18" s="6">
        <f>(DATA!AE45/2)+(DATA!AF45/2)</f>
        <v>13017.325965422435</v>
      </c>
      <c r="I18" s="6">
        <f>(DATA!AF45/2)+(DATA!AG45/2)</f>
        <v>13147.499225076659</v>
      </c>
      <c r="J18" s="6">
        <f>(DATA!AG45/2)+(DATA!AH45/2)</f>
        <v>13278.974217327424</v>
      </c>
      <c r="K18" s="6">
        <f>(DATA!AH45/2)+(DATA!AI45/2)</f>
        <v>13411.763959500699</v>
      </c>
      <c r="L18" s="6">
        <f>(DATA!AI45/2)+(DATA!AJ45/2)</f>
        <v>13545.881599095706</v>
      </c>
      <c r="M18" s="6">
        <f>(DATA!AJ45/2)+(DATA!AK45/2)</f>
        <v>13681.340415086663</v>
      </c>
      <c r="N18" s="7">
        <f t="shared" si="2"/>
        <v>155524.39177604593</v>
      </c>
    </row>
    <row r="19" spans="1:14" x14ac:dyDescent="0.25">
      <c r="A19" t="str">
        <f>IncomeStatement_Year5!A20</f>
        <v>Contingency Expense</v>
      </c>
      <c r="B19" s="6">
        <f>(DATA!Y46/2)+(DATA!Z46/2)</f>
        <v>99935.177901479939</v>
      </c>
      <c r="C19" s="6">
        <f>(DATA!Z46/2)+(DATA!AA46/2)</f>
        <v>101438.70527044751</v>
      </c>
      <c r="D19" s="6">
        <f>(DATA!AA46/2)+(DATA!AB46/2)</f>
        <v>102981.73804294106</v>
      </c>
      <c r="E19" s="6">
        <f>(DATA!AB46/2)+(DATA!AC46/2)</f>
        <v>104566.03742879329</v>
      </c>
      <c r="F19" s="6">
        <f>(DATA!AC46/2)+(DATA!AD46/2)</f>
        <v>106193.46342048922</v>
      </c>
      <c r="G19" s="6">
        <f>(DATA!AD46/2)+(DATA!AE46/2)</f>
        <v>107865.98072949034</v>
      </c>
      <c r="H19" s="6">
        <f>(DATA!AE46/2)+(DATA!AF46/2)</f>
        <v>109585.66508719238</v>
      </c>
      <c r="I19" s="6">
        <f>(DATA!AF46/2)+(DATA!AG46/2)</f>
        <v>111354.70993312827</v>
      </c>
      <c r="J19" s="6">
        <f>(DATA!AG46/2)+(DATA!AH46/2)</f>
        <v>113175.43351444027</v>
      </c>
      <c r="K19" s="6">
        <f>(DATA!AH46/2)+(DATA!AI46/2)</f>
        <v>115050.28642214483</v>
      </c>
      <c r="L19" s="6">
        <f>(DATA!AI46/2)+(DATA!AJ46/2)</f>
        <v>116981.8595913075</v>
      </c>
      <c r="M19" s="6">
        <f>(DATA!AJ46/2)+(DATA!AK46/2)</f>
        <v>118972.89279394018</v>
      </c>
      <c r="N19" s="7">
        <f t="shared" si="2"/>
        <v>1308101.9501357947</v>
      </c>
    </row>
    <row r="20" spans="1:14" x14ac:dyDescent="0.25">
      <c r="A20" t="str">
        <f>IncomeStatement_Year5!A21</f>
        <v>Business Insurance</v>
      </c>
      <c r="B20" s="6">
        <f>(DATA!Y48/2)+(DATA!Z48/2)</f>
        <v>4997.4071160591975</v>
      </c>
      <c r="C20" s="6">
        <f>(DATA!Z48/2)+(DATA!AA48/2)</f>
        <v>5057.5482108179003</v>
      </c>
      <c r="D20" s="6">
        <f>(DATA!AA48/2)+(DATA!AB48/2)</f>
        <v>5119.2695217176424</v>
      </c>
      <c r="E20" s="6">
        <f>(DATA!AB48/2)+(DATA!AC48/2)</f>
        <v>5182.6414971517315</v>
      </c>
      <c r="F20" s="6">
        <f>(DATA!AC48/2)+(DATA!AD48/2)</f>
        <v>5247.7385368195683</v>
      </c>
      <c r="G20" s="6">
        <f>(DATA!AD48/2)+(DATA!AE48/2)</f>
        <v>5314.6392291796128</v>
      </c>
      <c r="H20" s="6">
        <f>(DATA!AE48/2)+(DATA!AF48/2)</f>
        <v>5383.4266034876946</v>
      </c>
      <c r="I20" s="6">
        <f>(DATA!AF48/2)+(DATA!AG48/2)</f>
        <v>5454.1883973251297</v>
      </c>
      <c r="J20" s="6">
        <f>(DATA!AG48/2)+(DATA!AH48/2)</f>
        <v>5527.0173405776113</v>
      </c>
      <c r="K20" s="6">
        <f>(DATA!AH48/2)+(DATA!AI48/2)</f>
        <v>5602.0114568857935</v>
      </c>
      <c r="L20" s="6">
        <f>(DATA!AI48/2)+(DATA!AJ48/2)</f>
        <v>5679.2743836523005</v>
      </c>
      <c r="M20" s="6">
        <f>(DATA!AJ48/2)+(DATA!AK48/2)</f>
        <v>5758.9157117576069</v>
      </c>
      <c r="N20" s="7">
        <f t="shared" si="2"/>
        <v>64324.078005431802</v>
      </c>
    </row>
    <row r="21" spans="1:14" x14ac:dyDescent="0.25">
      <c r="A21" t="str">
        <f>IncomeStatement_Year5!A22</f>
        <v>Maintenance and Repairs</v>
      </c>
      <c r="B21" s="6">
        <f>(DATA!Y50/2)+(DATA!Z50/2)</f>
        <v>5996.1106740887972</v>
      </c>
      <c r="C21" s="6">
        <f>(DATA!Z50/2)+(DATA!AA50/2)</f>
        <v>6086.3223162268514</v>
      </c>
      <c r="D21" s="6">
        <f>(DATA!AA50/2)+(DATA!AB50/2)</f>
        <v>6178.9042825764627</v>
      </c>
      <c r="E21" s="6">
        <f>(DATA!AB50/2)+(DATA!AC50/2)</f>
        <v>6273.9622457275982</v>
      </c>
      <c r="F21" s="6">
        <f>(DATA!AC50/2)+(DATA!AD50/2)</f>
        <v>6371.6078052293524</v>
      </c>
      <c r="G21" s="6">
        <f>(DATA!AD50/2)+(DATA!AE50/2)</f>
        <v>6471.9588437694201</v>
      </c>
      <c r="H21" s="6">
        <f>(DATA!AE50/2)+(DATA!AF50/2)</f>
        <v>6575.1399052315419</v>
      </c>
      <c r="I21" s="6">
        <f>(DATA!AF50/2)+(DATA!AG50/2)</f>
        <v>6681.2825959876955</v>
      </c>
      <c r="J21" s="6">
        <f>(DATA!AG50/2)+(DATA!AH50/2)</f>
        <v>6790.526010866417</v>
      </c>
      <c r="K21" s="6">
        <f>(DATA!AH50/2)+(DATA!AI50/2)</f>
        <v>6903.0171853286893</v>
      </c>
      <c r="L21" s="6">
        <f>(DATA!AI50/2)+(DATA!AJ50/2)</f>
        <v>7018.9115754784489</v>
      </c>
      <c r="M21" s="6">
        <f>(DATA!AJ50/2)+(DATA!AK50/2)</f>
        <v>7138.3735676364104</v>
      </c>
      <c r="N21" s="7">
        <f t="shared" si="2"/>
        <v>78486.117008147674</v>
      </c>
    </row>
    <row r="22" spans="1:14" x14ac:dyDescent="0.25">
      <c r="A22" t="str">
        <f>IncomeStatement_Year5!A23</f>
        <v>Office Supplies</v>
      </c>
      <c r="B22" s="6">
        <f>(DATA!Y52/2)+(DATA!Z52/2)</f>
        <v>1001.5951543967524</v>
      </c>
      <c r="C22" s="6">
        <f>(DATA!Z52/2)+(DATA!AA52/2)</f>
        <v>1031.6430090286551</v>
      </c>
      <c r="D22" s="6">
        <f>(DATA!AA52/2)+(DATA!AB52/2)</f>
        <v>1062.5922992995147</v>
      </c>
      <c r="E22" s="6">
        <f>(DATA!AB52/2)+(DATA!AC52/2)</f>
        <v>1094.4700682785001</v>
      </c>
      <c r="F22" s="6">
        <f>(DATA!AC52/2)+(DATA!AD52/2)</f>
        <v>1127.304170326855</v>
      </c>
      <c r="G22" s="6">
        <f>(DATA!AD52/2)+(DATA!AE52/2)</f>
        <v>1161.1232954366608</v>
      </c>
      <c r="H22" s="6">
        <f>(DATA!AE52/2)+(DATA!AF52/2)</f>
        <v>1195.9569942997605</v>
      </c>
      <c r="I22" s="6">
        <f>(DATA!AF52/2)+(DATA!AG52/2)</f>
        <v>1231.8357041287536</v>
      </c>
      <c r="J22" s="6">
        <f>(DATA!AG52/2)+(DATA!AH52/2)</f>
        <v>1268.7907752526162</v>
      </c>
      <c r="K22" s="6">
        <f>(DATA!AH52/2)+(DATA!AI52/2)</f>
        <v>1306.8544985101948</v>
      </c>
      <c r="L22" s="6">
        <f>(DATA!AI52/2)+(DATA!AJ52/2)</f>
        <v>1346.0601334655007</v>
      </c>
      <c r="M22" s="6">
        <f>(DATA!AJ52/2)+(DATA!AK52/2)</f>
        <v>1386.4419374694658</v>
      </c>
      <c r="N22" s="7">
        <f t="shared" si="2"/>
        <v>14214.668039893229</v>
      </c>
    </row>
    <row r="23" spans="1:14" x14ac:dyDescent="0.25">
      <c r="A23" t="str">
        <f>IncomeStatement_Year5!A24</f>
        <v>Meals/Gifts/Entertainment</v>
      </c>
      <c r="B23" s="6">
        <f>(DATA!Y54/2)+(DATA!Z54/2)</f>
        <v>3004.7854631902578</v>
      </c>
      <c r="C23" s="6">
        <f>(DATA!Z54/2)+(DATA!AA54/2)</f>
        <v>3094.9290270859656</v>
      </c>
      <c r="D23" s="6">
        <f>(DATA!AA54/2)+(DATA!AB54/2)</f>
        <v>3187.776897898545</v>
      </c>
      <c r="E23" s="6">
        <f>(DATA!AB54/2)+(DATA!AC54/2)</f>
        <v>3283.4102048355016</v>
      </c>
      <c r="F23" s="6">
        <f>(DATA!AC54/2)+(DATA!AD54/2)</f>
        <v>3381.9125109805668</v>
      </c>
      <c r="G23" s="6">
        <f>(DATA!AD54/2)+(DATA!AE54/2)</f>
        <v>3483.3698863099839</v>
      </c>
      <c r="H23" s="6">
        <f>(DATA!AE54/2)+(DATA!AF54/2)</f>
        <v>3587.8709828992837</v>
      </c>
      <c r="I23" s="6">
        <f>(DATA!AF54/2)+(DATA!AG54/2)</f>
        <v>3695.5071123862626</v>
      </c>
      <c r="J23" s="6">
        <f>(DATA!AG54/2)+(DATA!AH54/2)</f>
        <v>3806.3723257578504</v>
      </c>
      <c r="K23" s="6">
        <f>(DATA!AH54/2)+(DATA!AI54/2)</f>
        <v>3920.5634955305859</v>
      </c>
      <c r="L23" s="6">
        <f>(DATA!AI54/2)+(DATA!AJ54/2)</f>
        <v>4038.1804003965035</v>
      </c>
      <c r="M23" s="6">
        <f>(DATA!AJ54/2)+(DATA!AK54/2)</f>
        <v>4159.3258124083986</v>
      </c>
      <c r="N23" s="7">
        <f t="shared" si="2"/>
        <v>42644.004119679696</v>
      </c>
    </row>
    <row r="24" spans="1:14" x14ac:dyDescent="0.25">
      <c r="A24" t="str">
        <f>IncomeStatement_Year5!A25</f>
        <v>Research and Development</v>
      </c>
      <c r="B24" s="6">
        <f>(DATA!Y56/2)+(DATA!Z56/2)</f>
        <v>99935.177901479939</v>
      </c>
      <c r="C24" s="6">
        <f>(DATA!Z56/2)+(DATA!AA56/2)</f>
        <v>101438.70527044751</v>
      </c>
      <c r="D24" s="6">
        <f>(DATA!AA56/2)+(DATA!AB56/2)</f>
        <v>102981.73804294106</v>
      </c>
      <c r="E24" s="6">
        <f>(DATA!AB56/2)+(DATA!AC56/2)</f>
        <v>104566.03742879329</v>
      </c>
      <c r="F24" s="6">
        <f>(DATA!AC56/2)+(DATA!AD56/2)</f>
        <v>106193.46342048922</v>
      </c>
      <c r="G24" s="6">
        <f>(DATA!AD56/2)+(DATA!AE56/2)</f>
        <v>107865.98072949034</v>
      </c>
      <c r="H24" s="6">
        <f>(DATA!AE56/2)+(DATA!AF56/2)</f>
        <v>109585.66508719238</v>
      </c>
      <c r="I24" s="6">
        <f>(DATA!AF56/2)+(DATA!AG56/2)</f>
        <v>111354.70993312827</v>
      </c>
      <c r="J24" s="6">
        <f>(DATA!AG56/2)+(DATA!AH56/2)</f>
        <v>113175.43351444027</v>
      </c>
      <c r="K24" s="6">
        <f>(DATA!AH56/2)+(DATA!AI56/2)</f>
        <v>115050.28642214483</v>
      </c>
      <c r="L24" s="6">
        <f>(DATA!AI56/2)+(DATA!AJ56/2)</f>
        <v>116981.8595913075</v>
      </c>
      <c r="M24" s="6">
        <f>(DATA!AJ56/2)+(DATA!AK56/2)</f>
        <v>118972.89279394018</v>
      </c>
      <c r="N24" s="7">
        <f t="shared" si="2"/>
        <v>1308101.9501357947</v>
      </c>
    </row>
    <row r="25" spans="1:14" x14ac:dyDescent="0.25">
      <c r="A25" t="str">
        <f>IncomeStatement_Year5!A26</f>
        <v>Salaries and Wages</v>
      </c>
      <c r="B25" s="6">
        <f>(DATA!Y58/2)+(DATA!Z58/2)</f>
        <v>112133.33333333334</v>
      </c>
      <c r="C25" s="6">
        <f>(DATA!Z58/2)+(DATA!AA58/2)</f>
        <v>112133.33333333334</v>
      </c>
      <c r="D25" s="6">
        <f>(DATA!AA58/2)+(DATA!AB58/2)</f>
        <v>112133.33333333334</v>
      </c>
      <c r="E25" s="6">
        <f>(DATA!AB58/2)+(DATA!AC58/2)</f>
        <v>112133.33333333334</v>
      </c>
      <c r="F25" s="6">
        <f>(DATA!AC58/2)+(DATA!AD58/2)</f>
        <v>112133.33333333334</v>
      </c>
      <c r="G25" s="6">
        <f>(DATA!AD58/2)+(DATA!AE58/2)</f>
        <v>112133.33333333334</v>
      </c>
      <c r="H25" s="6">
        <f>(DATA!AE58/2)+(DATA!AF58/2)</f>
        <v>112133.33333333334</v>
      </c>
      <c r="I25" s="6">
        <f>(DATA!AF58/2)+(DATA!AG58/2)</f>
        <v>112133.33333333334</v>
      </c>
      <c r="J25" s="6">
        <f>(DATA!AG58/2)+(DATA!AH58/2)</f>
        <v>112133.33333333334</v>
      </c>
      <c r="K25" s="6">
        <f>(DATA!AH58/2)+(DATA!AI58/2)</f>
        <v>112133.33333333334</v>
      </c>
      <c r="L25" s="6">
        <f>(DATA!AI58/2)+(DATA!AJ58/2)</f>
        <v>112133.33333333334</v>
      </c>
      <c r="M25" s="6">
        <f>(DATA!AJ58/2)+(DATA!AK58/2)</f>
        <v>112133.33333333334</v>
      </c>
      <c r="N25" s="7">
        <f t="shared" si="2"/>
        <v>1345600</v>
      </c>
    </row>
    <row r="26" spans="1:14" x14ac:dyDescent="0.25">
      <c r="A26" t="str">
        <f>IncomeStatement_Year5!A27</f>
        <v>Taxes and Licenses</v>
      </c>
      <c r="B26" s="6">
        <f>(DATA!Y59/2)+(DATA!Z59/2)</f>
        <v>1263.4488334401722</v>
      </c>
      <c r="C26" s="6">
        <f>(DATA!Z59/2)+(DATA!AA59/2)</f>
        <v>1276.083321774574</v>
      </c>
      <c r="D26" s="6">
        <f>(DATA!AA59/2)+(DATA!AB59/2)</f>
        <v>1288.84415499232</v>
      </c>
      <c r="E26" s="6">
        <f>(DATA!AB59/2)+(DATA!AC59/2)</f>
        <v>1301.7325965422431</v>
      </c>
      <c r="F26" s="6">
        <f>(DATA!AC59/2)+(DATA!AD59/2)</f>
        <v>1314.7499225076654</v>
      </c>
      <c r="G26" s="6">
        <f>(DATA!AD59/2)+(DATA!AE59/2)</f>
        <v>1327.8974217327423</v>
      </c>
      <c r="H26" s="6">
        <f>(DATA!AE59/2)+(DATA!AF59/2)</f>
        <v>1341.1763959500695</v>
      </c>
      <c r="I26" s="6">
        <f>(DATA!AF59/2)+(DATA!AG59/2)</f>
        <v>1354.5881599095703</v>
      </c>
      <c r="J26" s="6">
        <f>(DATA!AG59/2)+(DATA!AH59/2)</f>
        <v>1368.1340415086661</v>
      </c>
      <c r="K26" s="6">
        <f>(DATA!AH59/2)+(DATA!AI59/2)</f>
        <v>1381.8153819237527</v>
      </c>
      <c r="L26" s="6">
        <f>(DATA!AI59/2)+(DATA!AJ59/2)</f>
        <v>1395.6335357429905</v>
      </c>
      <c r="M26" s="6">
        <f>(DATA!AJ59/2)+(DATA!AK59/2)</f>
        <v>1409.5898711004206</v>
      </c>
      <c r="N26" s="7">
        <f t="shared" si="2"/>
        <v>16023.693637125187</v>
      </c>
    </row>
    <row r="27" spans="1:14" x14ac:dyDescent="0.25">
      <c r="A27" t="str">
        <f>IncomeStatement_Year5!A28</f>
        <v>Telephone &amp; Internet</v>
      </c>
      <c r="B27" s="6">
        <f>(DATA!Y61/2)+(DATA!Z61/2)</f>
        <v>631.72441672008608</v>
      </c>
      <c r="C27" s="6">
        <f>(DATA!Z61/2)+(DATA!AA61/2)</f>
        <v>638.04166088728698</v>
      </c>
      <c r="D27" s="6">
        <f>(DATA!AA61/2)+(DATA!AB61/2)</f>
        <v>644.42207749616</v>
      </c>
      <c r="E27" s="6">
        <f>(DATA!AB61/2)+(DATA!AC61/2)</f>
        <v>650.86629827112154</v>
      </c>
      <c r="F27" s="6">
        <f>(DATA!AC61/2)+(DATA!AD61/2)</f>
        <v>657.37496125383268</v>
      </c>
      <c r="G27" s="6">
        <f>(DATA!AD61/2)+(DATA!AE61/2)</f>
        <v>663.94871086637113</v>
      </c>
      <c r="H27" s="6">
        <f>(DATA!AE61/2)+(DATA!AF61/2)</f>
        <v>670.58819797503475</v>
      </c>
      <c r="I27" s="6">
        <f>(DATA!AF61/2)+(DATA!AG61/2)</f>
        <v>677.29407995478516</v>
      </c>
      <c r="J27" s="6">
        <f>(DATA!AG61/2)+(DATA!AH61/2)</f>
        <v>684.06702075433304</v>
      </c>
      <c r="K27" s="6">
        <f>(DATA!AH61/2)+(DATA!AI61/2)</f>
        <v>690.90769096187637</v>
      </c>
      <c r="L27" s="6">
        <f>(DATA!AI61/2)+(DATA!AJ61/2)</f>
        <v>697.81676787149524</v>
      </c>
      <c r="M27" s="6">
        <f>(DATA!AJ61/2)+(DATA!AK61/2)</f>
        <v>704.79493555021031</v>
      </c>
      <c r="N27" s="7">
        <f t="shared" si="2"/>
        <v>8011.8468185625934</v>
      </c>
    </row>
    <row r="28" spans="1:14" x14ac:dyDescent="0.25">
      <c r="A28" t="s">
        <v>72</v>
      </c>
      <c r="B28" s="6">
        <f>LoanModule!D33</f>
        <v>0</v>
      </c>
      <c r="C28" s="6">
        <f>LoanModule!D34</f>
        <v>0</v>
      </c>
      <c r="D28" s="6">
        <f>LoanModule!D35</f>
        <v>0</v>
      </c>
      <c r="E28" s="6">
        <f>LoanModule!D36</f>
        <v>0</v>
      </c>
      <c r="F28" s="6">
        <f>LoanModule!D37</f>
        <v>0</v>
      </c>
      <c r="G28" s="6">
        <f>LoanModule!D38</f>
        <v>0</v>
      </c>
      <c r="H28" s="6">
        <f>LoanModule!D39</f>
        <v>0</v>
      </c>
      <c r="I28" s="6">
        <f>LoanModule!D40</f>
        <v>0</v>
      </c>
      <c r="J28" s="6">
        <f>LoanModule!D41</f>
        <v>0</v>
      </c>
      <c r="K28" s="6">
        <f>LoanModule!D42</f>
        <v>0</v>
      </c>
      <c r="L28" s="6">
        <f>LoanModule!D43</f>
        <v>0</v>
      </c>
      <c r="M28" s="6">
        <f>LoanModule!D44</f>
        <v>0</v>
      </c>
      <c r="N28" s="7">
        <f t="shared" si="2"/>
        <v>0</v>
      </c>
    </row>
    <row r="29" spans="1:14" x14ac:dyDescent="0.25">
      <c r="A29" t="s">
        <v>89</v>
      </c>
      <c r="B29" s="6">
        <f>LoanModule!E33</f>
        <v>0</v>
      </c>
      <c r="C29" s="6">
        <f>LoanModule!E34</f>
        <v>0</v>
      </c>
      <c r="D29" s="6">
        <f>LoanModule!E35</f>
        <v>0</v>
      </c>
      <c r="E29" s="6">
        <f>LoanModule!E36</f>
        <v>0</v>
      </c>
      <c r="F29" s="6">
        <f>LoanModule!E37</f>
        <v>0</v>
      </c>
      <c r="G29" s="6">
        <f>LoanModule!E38</f>
        <v>0</v>
      </c>
      <c r="H29" s="6">
        <f>LoanModule!E39</f>
        <v>0</v>
      </c>
      <c r="I29" s="6">
        <f>LoanModule!E40</f>
        <v>0</v>
      </c>
      <c r="J29" s="6">
        <f>LoanModule!E41</f>
        <v>0</v>
      </c>
      <c r="K29" s="6">
        <f>LoanModule!E42</f>
        <v>0</v>
      </c>
      <c r="L29" s="6">
        <f>LoanModule!E43</f>
        <v>0</v>
      </c>
      <c r="M29" s="6">
        <f>LoanModule!E44</f>
        <v>0</v>
      </c>
      <c r="N29" s="7">
        <f t="shared" si="2"/>
        <v>0</v>
      </c>
    </row>
    <row r="30" spans="1:14" x14ac:dyDescent="0.25">
      <c r="A30" t="s">
        <v>18</v>
      </c>
      <c r="B30" s="6">
        <f>DATA!Z40</f>
        <v>0</v>
      </c>
      <c r="C30" s="6">
        <f>DATA!AA40</f>
        <v>0</v>
      </c>
      <c r="D30" s="6">
        <f>DATA!AB40</f>
        <v>0</v>
      </c>
      <c r="E30" s="6">
        <f>DATA!AC40</f>
        <v>0</v>
      </c>
      <c r="F30" s="6">
        <f>DATA!AD40</f>
        <v>0</v>
      </c>
      <c r="G30" s="6">
        <f>DATA!AE40</f>
        <v>0</v>
      </c>
      <c r="H30" s="6">
        <f>DATA!AF40</f>
        <v>0</v>
      </c>
      <c r="I30" s="6">
        <f>DATA!AG40</f>
        <v>0</v>
      </c>
      <c r="J30" s="6">
        <f>DATA!AH40</f>
        <v>0</v>
      </c>
      <c r="K30" s="6">
        <f>DATA!AI40</f>
        <v>0</v>
      </c>
      <c r="L30" s="6">
        <f>DATA!AJ40</f>
        <v>0</v>
      </c>
      <c r="M30" s="6">
        <f>DATA!AK40</f>
        <v>0</v>
      </c>
      <c r="N30" s="7">
        <f t="shared" si="2"/>
        <v>0</v>
      </c>
    </row>
    <row r="31" spans="1:14" x14ac:dyDescent="0.25">
      <c r="A31" t="s">
        <v>90</v>
      </c>
      <c r="B31" s="6">
        <f>IF(DATA!E19=B5,DATA!B19,0)+IF(DATA!E22=B5,DATA!B22,0)</f>
        <v>0</v>
      </c>
      <c r="C31" s="6">
        <f>IF(DATA!E19=C5,DATA!B19,0)+IF(DATA!E22=C5,DATA!B22,0)</f>
        <v>0</v>
      </c>
      <c r="D31" s="6">
        <f>IF(DATA!E19=D5,DATA!B19,0)+IF(DATA!E22=D5,DATA!B22,0)</f>
        <v>0</v>
      </c>
      <c r="E31" s="6">
        <f>IF(DATA!E19=E5,DATA!B19,0)+IF(DATA!E22=E5,DATA!B22,0)</f>
        <v>0</v>
      </c>
      <c r="F31" s="6">
        <f>IF(DATA!E19=F5,DATA!B19,0)+IF(DATA!E22=F5,DATA!B22,0)</f>
        <v>0</v>
      </c>
      <c r="G31" s="6">
        <f>IF(DATA!E19=G5,DATA!B19,0)+IF(DATA!E22=G5,DATA!B22,0)</f>
        <v>0</v>
      </c>
      <c r="H31" s="6">
        <f>IF(DATA!E19=H5,DATA!B19,0)+IF(DATA!E22=H5,DATA!B22,0)</f>
        <v>0</v>
      </c>
      <c r="I31" s="6">
        <f>IF(DATA!E19=I5,DATA!B19,0)+IF(DATA!E22=I5,DATA!B22,0)</f>
        <v>0</v>
      </c>
      <c r="J31" s="6">
        <f>IF(DATA!E19=J5,DATA!B19,0)+IF(DATA!E22=J5,DATA!B22,0)</f>
        <v>0</v>
      </c>
      <c r="K31" s="6">
        <f>IF(DATA!E19=K5,DATA!B19,0)+IF(DATA!E22=K5,DATA!B22,0)</f>
        <v>0</v>
      </c>
      <c r="L31" s="6">
        <f>IF(DATA!E19=L5,DATA!B19,0)+IF(DATA!E22=L5,DATA!B22,0)</f>
        <v>0</v>
      </c>
      <c r="M31" s="6">
        <f>IF(DATA!E19=M5,DATA!B19,0)+IF(DATA!E22=M5,DATA!B22,0)</f>
        <v>0</v>
      </c>
      <c r="N31" s="7">
        <f t="shared" si="2"/>
        <v>0</v>
      </c>
    </row>
    <row r="32" spans="1:14" x14ac:dyDescent="0.25">
      <c r="A32" t="s">
        <v>91</v>
      </c>
      <c r="B32" s="6">
        <f>((DATA!B74*DATA!Y79)/2)+((DATA!B74*DATA!Z79)/2)</f>
        <v>0</v>
      </c>
      <c r="C32" s="6">
        <f>((DATA!B74*DATA!Z79)/2)+((DATA!B74*DATA!AA79)/2)</f>
        <v>0</v>
      </c>
      <c r="D32" s="6">
        <f>((DATA!B74*DATA!AA79)/2)+((DATA!B74*DATA!AB79)/2)</f>
        <v>0</v>
      </c>
      <c r="E32" s="6">
        <f>((DATA!B74*DATA!AB79)/2)+((DATA!B74*DATA!AC79)/2)</f>
        <v>0</v>
      </c>
      <c r="F32" s="6">
        <f>((DATA!B74*DATA!AC79)/2)+((DATA!B74*DATA!AD79)/2)</f>
        <v>0</v>
      </c>
      <c r="G32" s="6">
        <f>((DATA!B74*DATA!AD79)/2)+((DATA!B74*DATA!AE79)/2)</f>
        <v>0</v>
      </c>
      <c r="H32" s="6">
        <f>((DATA!B74*DATA!AE79)/2)+((DATA!B74*DATA!AF79)/2)</f>
        <v>0</v>
      </c>
      <c r="I32" s="6">
        <f>((DATA!B74*DATA!AF79)/2)+((DATA!B74*DATA!AG79)/2)</f>
        <v>0</v>
      </c>
      <c r="J32" s="6">
        <f>((DATA!B74*DATA!AG79)/2)+((DATA!B74*DATA!AH79)/2)</f>
        <v>0</v>
      </c>
      <c r="K32" s="6">
        <f>((DATA!B74*DATA!AH79)/2)+((DATA!B74*DATA!AI79)/2)</f>
        <v>0</v>
      </c>
      <c r="L32" s="6">
        <f>((DATA!B74*DATA!AI79)/2)+((DATA!B74*DATA!AJ79)/2)</f>
        <v>0</v>
      </c>
      <c r="M32" s="6">
        <f>((DATA!B74*DATA!AJ79)/2)+((DATA!B74*DATA!AK79)/2)</f>
        <v>0</v>
      </c>
      <c r="N32" s="7">
        <f t="shared" si="2"/>
        <v>0</v>
      </c>
    </row>
    <row r="33" spans="1:14" x14ac:dyDescent="0.25">
      <c r="A33" t="s">
        <v>77</v>
      </c>
      <c r="B33" s="6">
        <f>IncomeStatement_Year3!B36</f>
        <v>39448.374177614562</v>
      </c>
      <c r="C33" s="6">
        <f>IncomeStatement_Year3!C36</f>
        <v>39448.374177614562</v>
      </c>
      <c r="D33" s="6">
        <f>IncomeStatement_Year3!D36</f>
        <v>39448.374177614562</v>
      </c>
      <c r="E33" s="6">
        <f>IncomeStatement_Year3!E36</f>
        <v>39448.374177614562</v>
      </c>
      <c r="F33" s="6">
        <f>IncomeStatement_Year3!F36</f>
        <v>39448.374177614562</v>
      </c>
      <c r="G33" s="6">
        <f>IncomeStatement_Year3!G36</f>
        <v>39448.374177614562</v>
      </c>
      <c r="H33" s="6">
        <f>IncomeStatement_Year3!H36</f>
        <v>39448.374177614562</v>
      </c>
      <c r="I33" s="6">
        <f>IncomeStatement_Year3!I36</f>
        <v>39448.374177614562</v>
      </c>
      <c r="J33" s="6">
        <f>IncomeStatement_Year3!J36</f>
        <v>39448.374177614562</v>
      </c>
      <c r="K33" s="6">
        <f>IncomeStatement_Year3!K36</f>
        <v>39448.374177614562</v>
      </c>
      <c r="L33" s="6">
        <f>IncomeStatement_Year3!L36</f>
        <v>39448.374177614562</v>
      </c>
      <c r="M33" s="6">
        <f>IncomeStatement_Year3!M36</f>
        <v>39448.374177614562</v>
      </c>
      <c r="N33" s="7">
        <f t="shared" si="2"/>
        <v>473380.49013137486</v>
      </c>
    </row>
    <row r="34" spans="1:14" x14ac:dyDescent="0.25">
      <c r="A34" t="s">
        <v>92</v>
      </c>
      <c r="B34" s="6">
        <f>'Inventory Module'!Y26-'Inventory Module'!Z26</f>
        <v>-551884.04100358149</v>
      </c>
      <c r="C34" s="6">
        <f>'Inventory Module'!Z26-'Inventory Module'!AA26</f>
        <v>434458.27014185843</v>
      </c>
      <c r="D34" s="6">
        <f>'Inventory Module'!AA26-'Inventory Module'!AB26</f>
        <v>-545355.19690177939</v>
      </c>
      <c r="E34" s="6">
        <f>'Inventory Module'!AB26-'Inventory Module'!AC26</f>
        <v>447630.49113431346</v>
      </c>
      <c r="F34" s="6">
        <f>'Inventory Module'!AC26-'Inventory Module'!AD26</f>
        <v>-525511.95237328974</v>
      </c>
      <c r="G34" s="6">
        <f>'Inventory Module'!AD26-'Inventory Module'!AE26</f>
        <v>461533.08946123795</v>
      </c>
      <c r="H34" s="6">
        <f>'Inventory Module'!AE26-'Inventory Module'!AF26</f>
        <v>-511225.77838972554</v>
      </c>
      <c r="I34" s="6">
        <f>'Inventory Module'!AF26-'Inventory Module'!AG26</f>
        <v>469836.95695327077</v>
      </c>
      <c r="J34" s="6">
        <f>'Inventory Module'!AG26-'Inventory Module'!AH26</f>
        <v>-496131.14696164284</v>
      </c>
      <c r="K34" s="6">
        <f>'Inventory Module'!AH26-'Inventory Module'!AI26</f>
        <v>491754.84810416313</v>
      </c>
      <c r="L34" s="6">
        <f>'Inventory Module'!AI26-'Inventory Module'!AJ26</f>
        <v>-500192.17575091968</v>
      </c>
      <c r="M34" s="6">
        <f>'Inventory Module'!AJ26-'Inventory Module'!AK26</f>
        <v>501770.13454654533</v>
      </c>
      <c r="N34" s="7">
        <f t="shared" si="2"/>
        <v>-323316.50103954959</v>
      </c>
    </row>
    <row r="35" spans="1:14" x14ac:dyDescent="0.25">
      <c r="A35" s="4" t="s">
        <v>93</v>
      </c>
      <c r="B35" s="9">
        <f t="shared" ref="B35:M35" si="3">SUM(B15:B33)-B34</f>
        <v>1362903.6563533193</v>
      </c>
      <c r="C35" s="9">
        <f t="shared" si="3"/>
        <v>385990.10693000274</v>
      </c>
      <c r="D35" s="9">
        <f t="shared" si="3"/>
        <v>1375474.3595502598</v>
      </c>
      <c r="E35" s="9">
        <f t="shared" si="3"/>
        <v>392412.17556698638</v>
      </c>
      <c r="F35" s="9">
        <f t="shared" si="3"/>
        <v>1375742.1281133064</v>
      </c>
      <c r="G35" s="9">
        <f t="shared" si="3"/>
        <v>399160.51365183556</v>
      </c>
      <c r="H35" s="9">
        <f t="shared" si="3"/>
        <v>1382671.3044530784</v>
      </c>
      <c r="I35" s="9">
        <f t="shared" si="3"/>
        <v>412662.26806331443</v>
      </c>
      <c r="J35" s="9">
        <f t="shared" si="3"/>
        <v>1389999.872199723</v>
      </c>
      <c r="K35" s="9">
        <f t="shared" si="3"/>
        <v>413813.99289747147</v>
      </c>
      <c r="L35" s="9">
        <f t="shared" si="3"/>
        <v>1417807.3981741958</v>
      </c>
      <c r="M35" s="9">
        <f t="shared" si="3"/>
        <v>428254.27057526284</v>
      </c>
      <c r="N35" s="9">
        <f t="shared" si="2"/>
        <v>10736892.046528757</v>
      </c>
    </row>
    <row r="37" spans="1:14" x14ac:dyDescent="0.25">
      <c r="A37" s="4" t="s">
        <v>94</v>
      </c>
      <c r="B37" s="10">
        <f t="shared" ref="B37:M37" si="4">B12-B35</f>
        <v>-356130.86242952291</v>
      </c>
      <c r="C37" s="10">
        <f t="shared" si="4"/>
        <v>636011.20455515105</v>
      </c>
      <c r="D37" s="10">
        <f t="shared" si="4"/>
        <v>-337840.91017659276</v>
      </c>
      <c r="E37" s="10">
        <f t="shared" si="4"/>
        <v>661275.12363521243</v>
      </c>
      <c r="F37" s="10">
        <f t="shared" si="4"/>
        <v>-305560.15890572104</v>
      </c>
      <c r="G37" s="10">
        <f t="shared" si="4"/>
        <v>687977.13173038582</v>
      </c>
      <c r="H37" s="10">
        <f t="shared" si="4"/>
        <v>-278095.64809145243</v>
      </c>
      <c r="I37" s="10">
        <f t="shared" si="4"/>
        <v>709856.2742376246</v>
      </c>
      <c r="J37" s="10">
        <f t="shared" si="4"/>
        <v>-249009.74421185674</v>
      </c>
      <c r="K37" s="10">
        <f t="shared" si="4"/>
        <v>746201.60755755869</v>
      </c>
      <c r="L37" s="10">
        <f t="shared" si="4"/>
        <v>-238185.80680307606</v>
      </c>
      <c r="M37" s="10">
        <f t="shared" si="4"/>
        <v>771581.99393242085</v>
      </c>
      <c r="N37" s="10">
        <f>SUM(B37:M37)</f>
        <v>2448080.2050301312</v>
      </c>
    </row>
    <row r="39" spans="1:14" x14ac:dyDescent="0.25">
      <c r="A39" s="4" t="s">
        <v>95</v>
      </c>
      <c r="B39" s="7">
        <f>B37</f>
        <v>-356130.86242952291</v>
      </c>
      <c r="C39" s="7">
        <f t="shared" ref="C39:M39" si="5">B39+C37</f>
        <v>279880.34212562814</v>
      </c>
      <c r="D39" s="7">
        <f t="shared" si="5"/>
        <v>-57960.568050964619</v>
      </c>
      <c r="E39" s="7">
        <f t="shared" si="5"/>
        <v>603314.55558424781</v>
      </c>
      <c r="F39" s="7">
        <f t="shared" si="5"/>
        <v>297754.39667852677</v>
      </c>
      <c r="G39" s="7">
        <f t="shared" si="5"/>
        <v>985731.52840891259</v>
      </c>
      <c r="H39" s="7">
        <f t="shared" si="5"/>
        <v>707635.88031746016</v>
      </c>
      <c r="I39" s="7">
        <f t="shared" si="5"/>
        <v>1417492.1545550846</v>
      </c>
      <c r="J39" s="7">
        <f t="shared" si="5"/>
        <v>1168482.4103432279</v>
      </c>
      <c r="K39" s="7">
        <f t="shared" si="5"/>
        <v>1914684.0179007866</v>
      </c>
      <c r="L39" s="7">
        <f t="shared" si="5"/>
        <v>1676498.2110977105</v>
      </c>
      <c r="M39" s="7">
        <f t="shared" si="5"/>
        <v>2448080.2050301312</v>
      </c>
      <c r="N39" s="7">
        <f>M39</f>
        <v>2448080.2050301312</v>
      </c>
    </row>
    <row r="44" spans="1:14" x14ac:dyDescent="0.25">
      <c r="A44" t="s">
        <v>79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13" workbookViewId="0">
      <selection activeCell="G32" sqref="G32"/>
    </sheetView>
  </sheetViews>
  <sheetFormatPr defaultColWidth="8.85546875" defaultRowHeight="15" x14ac:dyDescent="0.25"/>
  <cols>
    <col min="1" max="1" width="29.42578125" bestFit="1" customWidth="1"/>
    <col min="2" max="14" width="11.85546875" bestFit="1" customWidth="1"/>
  </cols>
  <sheetData>
    <row r="1" spans="1:14" x14ac:dyDescent="0.25">
      <c r="A1" t="str">
        <f>DATA!B1</f>
        <v>Example Manufacturing Company</v>
      </c>
    </row>
    <row r="2" spans="1:14" x14ac:dyDescent="0.25">
      <c r="A2" t="s">
        <v>82</v>
      </c>
    </row>
    <row r="3" spans="1:14" x14ac:dyDescent="0.25">
      <c r="A3" t="s">
        <v>137</v>
      </c>
    </row>
    <row r="5" spans="1:14" x14ac:dyDescent="0.25">
      <c r="B5">
        <v>37</v>
      </c>
      <c r="C5">
        <v>38</v>
      </c>
      <c r="D5">
        <v>39</v>
      </c>
      <c r="E5">
        <v>40</v>
      </c>
      <c r="F5">
        <v>41</v>
      </c>
      <c r="G5">
        <v>42</v>
      </c>
      <c r="H5">
        <v>43</v>
      </c>
      <c r="I5">
        <v>44</v>
      </c>
      <c r="J5">
        <v>45</v>
      </c>
      <c r="K5">
        <v>46</v>
      </c>
      <c r="L5">
        <v>47</v>
      </c>
      <c r="M5">
        <v>48</v>
      </c>
      <c r="N5" s="4" t="s">
        <v>137</v>
      </c>
    </row>
    <row r="7" spans="1:14" x14ac:dyDescent="0.25">
      <c r="A7" s="4" t="s">
        <v>83</v>
      </c>
      <c r="B7" s="6">
        <f>CashFlowStatement_Year3!M7+CashFlowStatement_Year3!M37</f>
        <v>9964335.229270326</v>
      </c>
      <c r="C7" s="6">
        <f t="shared" ref="C7:M7" si="0">B7+B37</f>
        <v>9759008.4454674423</v>
      </c>
      <c r="D7" s="6">
        <f t="shared" si="0"/>
        <v>10550915.685825991</v>
      </c>
      <c r="E7" s="6">
        <f t="shared" si="0"/>
        <v>10380627.020247757</v>
      </c>
      <c r="F7" s="6">
        <f t="shared" si="0"/>
        <v>11202254.836417617</v>
      </c>
      <c r="G7" s="6">
        <f t="shared" si="0"/>
        <v>11069388.482807519</v>
      </c>
      <c r="H7" s="6">
        <f t="shared" si="0"/>
        <v>11909352.144891055</v>
      </c>
      <c r="I7" s="6">
        <f t="shared" si="0"/>
        <v>11816515.761917194</v>
      </c>
      <c r="J7" s="6">
        <f t="shared" si="0"/>
        <v>12724801.090077022</v>
      </c>
      <c r="K7" s="6">
        <f t="shared" si="0"/>
        <v>12668426.878431005</v>
      </c>
      <c r="L7" s="6">
        <f t="shared" si="0"/>
        <v>12641294.313483007</v>
      </c>
      <c r="M7" s="6">
        <f t="shared" si="0"/>
        <v>13590585.111302577</v>
      </c>
      <c r="N7" s="7">
        <f>M7</f>
        <v>13590585.111302577</v>
      </c>
    </row>
    <row r="9" spans="1:14" x14ac:dyDescent="0.25">
      <c r="A9" s="4" t="s">
        <v>84</v>
      </c>
    </row>
    <row r="10" spans="1:14" x14ac:dyDescent="0.25">
      <c r="A10" t="s">
        <v>31</v>
      </c>
      <c r="B10" s="6">
        <f>DATA!AL85</f>
        <v>1220689.4085969687</v>
      </c>
      <c r="C10" s="6">
        <f>DATA!AM85</f>
        <v>1242212.5359159256</v>
      </c>
      <c r="D10" s="6">
        <f>DATA!AN85</f>
        <v>1264438.9869524711</v>
      </c>
      <c r="E10" s="6">
        <f>DATA!AO85</f>
        <v>1287404.0415323726</v>
      </c>
      <c r="F10" s="6">
        <f>DATA!AP85</f>
        <v>1311145.0368087951</v>
      </c>
      <c r="G10" s="6">
        <f>DATA!AQ85</f>
        <v>1335701.4925417521</v>
      </c>
      <c r="H10" s="6">
        <f>DATA!AR85</f>
        <v>1361115.2441214316</v>
      </c>
      <c r="I10" s="6">
        <f>DATA!AS85</f>
        <v>1387430.583817827</v>
      </c>
      <c r="J10" s="6">
        <f>DATA!AT85</f>
        <v>1414694.4107693569</v>
      </c>
      <c r="K10" s="6">
        <f>DATA!AU85</f>
        <v>1442956.3902552729</v>
      </c>
      <c r="L10" s="6">
        <f>DATA!AV85</f>
        <v>1472269.1228308608</v>
      </c>
      <c r="M10" s="6">
        <f>DATA!AW85</f>
        <v>1502688.3239407423</v>
      </c>
      <c r="N10" s="7">
        <f>SUM(B10:M10)</f>
        <v>16242745.578083776</v>
      </c>
    </row>
    <row r="11" spans="1:14" x14ac:dyDescent="0.25">
      <c r="A11" t="s">
        <v>58</v>
      </c>
      <c r="B11" s="6">
        <f>0</f>
        <v>0</v>
      </c>
      <c r="C11" s="6">
        <f>0</f>
        <v>0</v>
      </c>
      <c r="D11" s="6">
        <f>0</f>
        <v>0</v>
      </c>
      <c r="E11" s="6">
        <f>0</f>
        <v>0</v>
      </c>
      <c r="F11" s="6">
        <f>0</f>
        <v>0</v>
      </c>
      <c r="G11" s="6">
        <f>0</f>
        <v>0</v>
      </c>
      <c r="H11" s="6">
        <f>0</f>
        <v>0</v>
      </c>
      <c r="I11" s="6">
        <f>0</f>
        <v>0</v>
      </c>
      <c r="J11" s="6">
        <f>0</f>
        <v>0</v>
      </c>
      <c r="K11" s="6">
        <f>0</f>
        <v>0</v>
      </c>
      <c r="L11" s="6">
        <f>0</f>
        <v>0</v>
      </c>
      <c r="M11" s="6">
        <f>0</f>
        <v>0</v>
      </c>
      <c r="N11" s="7">
        <f>SUM(B11:M11)</f>
        <v>0</v>
      </c>
    </row>
    <row r="12" spans="1:14" x14ac:dyDescent="0.25">
      <c r="A12" s="4" t="s">
        <v>85</v>
      </c>
      <c r="B12" s="9">
        <f t="shared" ref="B12:M12" si="1">SUM(B10:B11)</f>
        <v>1220689.4085969687</v>
      </c>
      <c r="C12" s="9">
        <f t="shared" si="1"/>
        <v>1242212.5359159256</v>
      </c>
      <c r="D12" s="9">
        <f t="shared" si="1"/>
        <v>1264438.9869524711</v>
      </c>
      <c r="E12" s="9">
        <f t="shared" si="1"/>
        <v>1287404.0415323726</v>
      </c>
      <c r="F12" s="9">
        <f t="shared" si="1"/>
        <v>1311145.0368087951</v>
      </c>
      <c r="G12" s="9">
        <f t="shared" si="1"/>
        <v>1335701.4925417521</v>
      </c>
      <c r="H12" s="9">
        <f t="shared" si="1"/>
        <v>1361115.2441214316</v>
      </c>
      <c r="I12" s="9">
        <f t="shared" si="1"/>
        <v>1387430.583817827</v>
      </c>
      <c r="J12" s="9">
        <f t="shared" si="1"/>
        <v>1414694.4107693569</v>
      </c>
      <c r="K12" s="9">
        <f t="shared" si="1"/>
        <v>1442956.3902552729</v>
      </c>
      <c r="L12" s="9">
        <f t="shared" si="1"/>
        <v>1472269.1228308608</v>
      </c>
      <c r="M12" s="9">
        <f t="shared" si="1"/>
        <v>1502688.3239407423</v>
      </c>
      <c r="N12" s="9">
        <f>SUM(B12:M12)</f>
        <v>16242745.578083776</v>
      </c>
    </row>
    <row r="14" spans="1:14" x14ac:dyDescent="0.25">
      <c r="A14" s="4" t="s">
        <v>86</v>
      </c>
    </row>
    <row r="15" spans="1:14" x14ac:dyDescent="0.25">
      <c r="A15" t="s">
        <v>87</v>
      </c>
      <c r="B15" s="6">
        <f>(DATA!AK80/2)+(DATA!AL80/2)</f>
        <v>446939.4651378725</v>
      </c>
      <c r="C15" s="6">
        <f>(DATA!AL80/2)+(DATA!AM80/2)</f>
        <v>454188.29441298067</v>
      </c>
      <c r="D15" s="6">
        <f>(DATA!AM80/2)+(DATA!AN80/2)</f>
        <v>461666.97627675143</v>
      </c>
      <c r="E15" s="6">
        <f>(DATA!AN80/2)+(DATA!AO80/2)</f>
        <v>469386.90071744972</v>
      </c>
      <c r="F15" s="6">
        <f>(DATA!AO80/2)+(DATA!AP80/2)</f>
        <v>477360.10700052953</v>
      </c>
      <c r="G15" s="6">
        <f>(DATA!AP80/2)+(DATA!AQ80/2)</f>
        <v>485599.32199241052</v>
      </c>
      <c r="H15" s="6">
        <f>(DATA!AQ80/2)+(DATA!AR80/2)</f>
        <v>494118.0007682991</v>
      </c>
      <c r="I15" s="6">
        <f>(DATA!AR80/2)+(DATA!AS80/2)</f>
        <v>502930.3696406738</v>
      </c>
      <c r="J15" s="6">
        <f>(DATA!AS80/2)+(DATA!AT80/2)</f>
        <v>512051.47175324615</v>
      </c>
      <c r="K15" s="6">
        <f>(DATA!AT80/2)+(DATA!AU80/2)</f>
        <v>521497.21539388708</v>
      </c>
      <c r="L15" s="6">
        <f>(DATA!AU80/2)+(DATA!AV80/2)</f>
        <v>531284.42518921138</v>
      </c>
      <c r="M15" s="6">
        <f>(DATA!AV80/2)+(DATA!AW80/2)</f>
        <v>541430.89635326946</v>
      </c>
      <c r="N15" s="7">
        <f t="shared" ref="N15:N35" si="2">SUM(B15:M15)</f>
        <v>5898453.4446365796</v>
      </c>
    </row>
    <row r="16" spans="1:14" x14ac:dyDescent="0.25">
      <c r="A16" t="s">
        <v>88</v>
      </c>
      <c r="B16" s="6">
        <f>(DATA!AK81/2)+(DATA!AL81/2)</f>
        <v>24112.472017545966</v>
      </c>
      <c r="C16" s="6">
        <f>(DATA!AL81/2)+(DATA!AM81/2)</f>
        <v>24529.849043593451</v>
      </c>
      <c r="D16" s="6">
        <f>(DATA!AM81/2)+(DATA!AN81/2)</f>
        <v>24960.67092561844</v>
      </c>
      <c r="E16" s="6">
        <f>(DATA!AN81/2)+(DATA!AO81/2)</f>
        <v>25405.608516988046</v>
      </c>
      <c r="F16" s="6">
        <f>(DATA!AO81/2)+(DATA!AP81/2)</f>
        <v>25865.371619947524</v>
      </c>
      <c r="G16" s="6">
        <f>(DATA!AP81/2)+(DATA!AQ81/2)</f>
        <v>26340.711342289109</v>
      </c>
      <c r="H16" s="6">
        <f>(DATA!AQ81/2)+(DATA!AR81/2)</f>
        <v>26832.422598452358</v>
      </c>
      <c r="I16" s="6">
        <f>(DATA!AR81/2)+(DATA!AS81/2)</f>
        <v>27341.346763958445</v>
      </c>
      <c r="J16" s="6">
        <f>(DATA!AS81/2)+(DATA!AT81/2)</f>
        <v>27868.37449263197</v>
      </c>
      <c r="K16" s="6">
        <f>(DATA!AT81/2)+(DATA!AU81/2)</f>
        <v>28414.448706648895</v>
      </c>
      <c r="L16" s="6">
        <f>(DATA!AU81/2)+(DATA!AV81/2)</f>
        <v>28980.567770070618</v>
      </c>
      <c r="M16" s="6">
        <f>(DATA!AV81/2)+(DATA!AW81/2)</f>
        <v>29567.788857184602</v>
      </c>
      <c r="N16" s="7">
        <f t="shared" si="2"/>
        <v>320219.63265492942</v>
      </c>
    </row>
    <row r="17" spans="1:14" x14ac:dyDescent="0.25">
      <c r="A17" t="str">
        <f>IncomeStatement_Year5!A18</f>
        <v>Professional, Accounting and Legal</v>
      </c>
      <c r="B17" s="6">
        <f>(DATA!AK43/2)+(DATA!AL43/2)</f>
        <v>43359.19927933142</v>
      </c>
      <c r="C17" s="6">
        <f>(DATA!AL43/2)+(DATA!AM43/2)</f>
        <v>44100.784028975657</v>
      </c>
      <c r="D17" s="6">
        <f>(DATA!AM43/2)+(DATA!AN43/2)</f>
        <v>44866.401650196945</v>
      </c>
      <c r="E17" s="6">
        <f>(DATA!AN43/2)+(DATA!AO43/2)</f>
        <v>45657.252998484772</v>
      </c>
      <c r="F17" s="6">
        <f>(DATA!AO43/2)+(DATA!AP43/2)</f>
        <v>46474.608870970442</v>
      </c>
      <c r="G17" s="6">
        <f>(DATA!AP43/2)+(DATA!AQ43/2)</f>
        <v>47319.81426363458</v>
      </c>
      <c r="H17" s="6">
        <f>(DATA!AQ43/2)+(DATA!AR43/2)</f>
        <v>48194.292891605714</v>
      </c>
      <c r="I17" s="6">
        <f>(DATA!AR43/2)+(DATA!AS43/2)</f>
        <v>49099.551988937033</v>
      </c>
      <c r="J17" s="6">
        <f>(DATA!AS43/2)+(DATA!AT43/2)</f>
        <v>50037.187405275719</v>
      </c>
      <c r="K17" s="6">
        <f>(DATA!AT43/2)+(DATA!AU43/2)</f>
        <v>51008.889017931026</v>
      </c>
      <c r="L17" s="6">
        <f>(DATA!AU43/2)+(DATA!AV43/2)</f>
        <v>52016.44647900734</v>
      </c>
      <c r="M17" s="6">
        <f>(DATA!AV43/2)+(DATA!AW43/2)</f>
        <v>53061.755318503056</v>
      </c>
      <c r="N17" s="7">
        <f t="shared" si="2"/>
        <v>575196.18419285351</v>
      </c>
    </row>
    <row r="18" spans="1:14" x14ac:dyDescent="0.25">
      <c r="A18" t="str">
        <f>IncomeStatement_Year5!A19</f>
        <v>Marketing &amp; Advertising</v>
      </c>
      <c r="B18" s="6">
        <f>(DATA!AK45/2)+(DATA!AL45/2)</f>
        <v>13818.15381923753</v>
      </c>
      <c r="C18" s="6">
        <f>(DATA!AL45/2)+(DATA!AM45/2)</f>
        <v>13956.335357429905</v>
      </c>
      <c r="D18" s="6">
        <f>(DATA!AM45/2)+(DATA!AN45/2)</f>
        <v>14095.898711004204</v>
      </c>
      <c r="E18" s="6">
        <f>(DATA!AN45/2)+(DATA!AO45/2)</f>
        <v>14236.857698114247</v>
      </c>
      <c r="F18" s="6">
        <f>(DATA!AO45/2)+(DATA!AP45/2)</f>
        <v>14379.226275095389</v>
      </c>
      <c r="G18" s="6">
        <f>(DATA!AP45/2)+(DATA!AQ45/2)</f>
        <v>14523.018537846341</v>
      </c>
      <c r="H18" s="6">
        <f>(DATA!AQ45/2)+(DATA!AR45/2)</f>
        <v>14668.248723224804</v>
      </c>
      <c r="I18" s="6">
        <f>(DATA!AR45/2)+(DATA!AS45/2)</f>
        <v>14814.931210457053</v>
      </c>
      <c r="J18" s="6">
        <f>(DATA!AS45/2)+(DATA!AT45/2)</f>
        <v>14963.080522561622</v>
      </c>
      <c r="K18" s="6">
        <f>(DATA!AT45/2)+(DATA!AU45/2)</f>
        <v>15112.711327787238</v>
      </c>
      <c r="L18" s="6">
        <f>(DATA!AU45/2)+(DATA!AV45/2)</f>
        <v>15263.838441065111</v>
      </c>
      <c r="M18" s="6">
        <f>(DATA!AV45/2)+(DATA!AW45/2)</f>
        <v>15416.476825475762</v>
      </c>
      <c r="N18" s="7">
        <f t="shared" si="2"/>
        <v>175248.77744929917</v>
      </c>
    </row>
    <row r="19" spans="1:14" x14ac:dyDescent="0.25">
      <c r="A19" t="str">
        <f>IncomeStatement_Year5!A20</f>
        <v>Contingency Expense</v>
      </c>
      <c r="B19" s="6">
        <f>(DATA!AK46/2)+(DATA!AL46/2)</f>
        <v>121026.28365523263</v>
      </c>
      <c r="C19" s="6">
        <f>(DATA!AL46/2)+(DATA!AM46/2)</f>
        <v>123145.09722564473</v>
      </c>
      <c r="D19" s="6">
        <f>(DATA!AM46/2)+(DATA!AN46/2)</f>
        <v>125332.57614341984</v>
      </c>
      <c r="E19" s="6">
        <f>(DATA!AN46/2)+(DATA!AO46/2)</f>
        <v>127592.15142424218</v>
      </c>
      <c r="F19" s="6">
        <f>(DATA!AO46/2)+(DATA!AP46/2)</f>
        <v>129927.45391705839</v>
      </c>
      <c r="G19" s="6">
        <f>(DATA!AP46/2)+(DATA!AQ46/2)</f>
        <v>132342.32646752737</v>
      </c>
      <c r="H19" s="6">
        <f>(DATA!AQ46/2)+(DATA!AR46/2)</f>
        <v>134840.83683315921</v>
      </c>
      <c r="I19" s="6">
        <f>(DATA!AR46/2)+(DATA!AS46/2)</f>
        <v>137427.29139696294</v>
      </c>
      <c r="J19" s="6">
        <f>(DATA!AS46/2)+(DATA!AT46/2)</f>
        <v>140106.2497293592</v>
      </c>
      <c r="K19" s="6">
        <f>(DATA!AT46/2)+(DATA!AU46/2)</f>
        <v>142882.54005123151</v>
      </c>
      <c r="L19" s="6">
        <f>(DATA!AU46/2)+(DATA!AV46/2)</f>
        <v>145761.27565430669</v>
      </c>
      <c r="M19" s="6">
        <f>(DATA!AV46/2)+(DATA!AW46/2)</f>
        <v>148747.87233858014</v>
      </c>
      <c r="N19" s="7">
        <f t="shared" si="2"/>
        <v>1609131.954836725</v>
      </c>
    </row>
    <row r="20" spans="1:14" x14ac:dyDescent="0.25">
      <c r="A20" t="str">
        <f>IncomeStatement_Year5!A21</f>
        <v>Business Insurance</v>
      </c>
      <c r="B20" s="6">
        <f>(DATA!AK48/2)+(DATA!AL48/2)</f>
        <v>5841.0513462093049</v>
      </c>
      <c r="C20" s="6">
        <f>(DATA!AL48/2)+(DATA!AM48/2)</f>
        <v>5925.8038890257885</v>
      </c>
      <c r="D20" s="6">
        <f>(DATA!AM48/2)+(DATA!AN48/2)</f>
        <v>6013.3030457367931</v>
      </c>
      <c r="E20" s="6">
        <f>(DATA!AN48/2)+(DATA!AO48/2)</f>
        <v>6103.6860569696873</v>
      </c>
      <c r="F20" s="6">
        <f>(DATA!AO48/2)+(DATA!AP48/2)</f>
        <v>6197.0981566823357</v>
      </c>
      <c r="G20" s="6">
        <f>(DATA!AP48/2)+(DATA!AQ48/2)</f>
        <v>6293.6930587010938</v>
      </c>
      <c r="H20" s="6">
        <f>(DATA!AQ48/2)+(DATA!AR48/2)</f>
        <v>6393.6334733263675</v>
      </c>
      <c r="I20" s="6">
        <f>(DATA!AR48/2)+(DATA!AS48/2)</f>
        <v>6497.0916558785175</v>
      </c>
      <c r="J20" s="6">
        <f>(DATA!AS48/2)+(DATA!AT48/2)</f>
        <v>6604.2499891743682</v>
      </c>
      <c r="K20" s="6">
        <f>(DATA!AT48/2)+(DATA!AU48/2)</f>
        <v>6715.3016020492596</v>
      </c>
      <c r="L20" s="6">
        <f>(DATA!AU48/2)+(DATA!AV48/2)</f>
        <v>6830.451026172268</v>
      </c>
      <c r="M20" s="6">
        <f>(DATA!AV48/2)+(DATA!AW48/2)</f>
        <v>6949.9148935432058</v>
      </c>
      <c r="N20" s="7">
        <f t="shared" si="2"/>
        <v>76365.278193468985</v>
      </c>
    </row>
    <row r="21" spans="1:14" x14ac:dyDescent="0.25">
      <c r="A21" t="str">
        <f>IncomeStatement_Year5!A22</f>
        <v>Maintenance and Repairs</v>
      </c>
      <c r="B21" s="6">
        <f>(DATA!AK50/2)+(DATA!AL50/2)</f>
        <v>7261.5770193139579</v>
      </c>
      <c r="C21" s="6">
        <f>(DATA!AL50/2)+(DATA!AM50/2)</f>
        <v>7388.7058335386828</v>
      </c>
      <c r="D21" s="6">
        <f>(DATA!AM50/2)+(DATA!AN50/2)</f>
        <v>7519.9545686051906</v>
      </c>
      <c r="E21" s="6">
        <f>(DATA!AN50/2)+(DATA!AO50/2)</f>
        <v>7655.529085454531</v>
      </c>
      <c r="F21" s="6">
        <f>(DATA!AO50/2)+(DATA!AP50/2)</f>
        <v>7795.6472350235035</v>
      </c>
      <c r="G21" s="6">
        <f>(DATA!AP50/2)+(DATA!AQ50/2)</f>
        <v>7940.5395880516407</v>
      </c>
      <c r="H21" s="6">
        <f>(DATA!AQ50/2)+(DATA!AR50/2)</f>
        <v>8090.4502099895508</v>
      </c>
      <c r="I21" s="6">
        <f>(DATA!AR50/2)+(DATA!AS50/2)</f>
        <v>8245.6374838177762</v>
      </c>
      <c r="J21" s="6">
        <f>(DATA!AS50/2)+(DATA!AT50/2)</f>
        <v>8406.3749837615505</v>
      </c>
      <c r="K21" s="6">
        <f>(DATA!AT50/2)+(DATA!AU50/2)</f>
        <v>8572.9524030738903</v>
      </c>
      <c r="L21" s="6">
        <f>(DATA!AU50/2)+(DATA!AV50/2)</f>
        <v>8745.676539258402</v>
      </c>
      <c r="M21" s="6">
        <f>(DATA!AV50/2)+(DATA!AW50/2)</f>
        <v>8924.8723403148088</v>
      </c>
      <c r="N21" s="7">
        <f t="shared" si="2"/>
        <v>96547.917290203477</v>
      </c>
    </row>
    <row r="22" spans="1:14" x14ac:dyDescent="0.25">
      <c r="A22" t="str">
        <f>IncomeStatement_Year5!A23</f>
        <v>Office Supplies</v>
      </c>
      <c r="B22" s="6">
        <f>(DATA!AK52/2)+(DATA!AL52/2)</f>
        <v>1428.0351955935498</v>
      </c>
      <c r="C22" s="6">
        <f>(DATA!AL52/2)+(DATA!AM52/2)</f>
        <v>1470.8762514613563</v>
      </c>
      <c r="D22" s="6">
        <f>(DATA!AM52/2)+(DATA!AN52/2)</f>
        <v>1515.0025390051969</v>
      </c>
      <c r="E22" s="6">
        <f>(DATA!AN52/2)+(DATA!AO52/2)</f>
        <v>1560.452615175353</v>
      </c>
      <c r="F22" s="6">
        <f>(DATA!AO52/2)+(DATA!AP52/2)</f>
        <v>1607.2661936306135</v>
      </c>
      <c r="G22" s="6">
        <f>(DATA!AP52/2)+(DATA!AQ52/2)</f>
        <v>1655.484179439532</v>
      </c>
      <c r="H22" s="6">
        <f>(DATA!AQ52/2)+(DATA!AR52/2)</f>
        <v>1705.1487048227179</v>
      </c>
      <c r="I22" s="6">
        <f>(DATA!AR52/2)+(DATA!AS52/2)</f>
        <v>1756.3031659673995</v>
      </c>
      <c r="J22" s="6">
        <f>(DATA!AS52/2)+(DATA!AT52/2)</f>
        <v>1808.9922609464215</v>
      </c>
      <c r="K22" s="6">
        <f>(DATA!AT52/2)+(DATA!AU52/2)</f>
        <v>1863.2620287748146</v>
      </c>
      <c r="L22" s="6">
        <f>(DATA!AU52/2)+(DATA!AV52/2)</f>
        <v>1919.159889638059</v>
      </c>
      <c r="M22" s="6">
        <f>(DATA!AV52/2)+(DATA!AW52/2)</f>
        <v>1976.734686327201</v>
      </c>
      <c r="N22" s="7">
        <f t="shared" si="2"/>
        <v>20266.717710782214</v>
      </c>
    </row>
    <row r="23" spans="1:14" x14ac:dyDescent="0.25">
      <c r="A23" t="str">
        <f>IncomeStatement_Year5!A24</f>
        <v>Meals/Gifts/Entertainment</v>
      </c>
      <c r="B23" s="6">
        <f>(DATA!AK54/2)+(DATA!AL54/2)</f>
        <v>4284.1055867806508</v>
      </c>
      <c r="C23" s="6">
        <f>(DATA!AL54/2)+(DATA!AM54/2)</f>
        <v>4412.6287543840708</v>
      </c>
      <c r="D23" s="6">
        <f>(DATA!AM54/2)+(DATA!AN54/2)</f>
        <v>4545.0076170155935</v>
      </c>
      <c r="E23" s="6">
        <f>(DATA!AN54/2)+(DATA!AO54/2)</f>
        <v>4681.3578455260613</v>
      </c>
      <c r="F23" s="6">
        <f>(DATA!AO54/2)+(DATA!AP54/2)</f>
        <v>4821.7985808918429</v>
      </c>
      <c r="G23" s="6">
        <f>(DATA!AP54/2)+(DATA!AQ54/2)</f>
        <v>4966.4525383185983</v>
      </c>
      <c r="H23" s="6">
        <f>(DATA!AQ54/2)+(DATA!AR54/2)</f>
        <v>5115.4461144681563</v>
      </c>
      <c r="I23" s="6">
        <f>(DATA!AR54/2)+(DATA!AS54/2)</f>
        <v>5268.9094979022011</v>
      </c>
      <c r="J23" s="6">
        <f>(DATA!AS54/2)+(DATA!AT54/2)</f>
        <v>5426.9767828392669</v>
      </c>
      <c r="K23" s="6">
        <f>(DATA!AT54/2)+(DATA!AU54/2)</f>
        <v>5589.786086324445</v>
      </c>
      <c r="L23" s="6">
        <f>(DATA!AU54/2)+(DATA!AV54/2)</f>
        <v>5757.4796689141785</v>
      </c>
      <c r="M23" s="6">
        <f>(DATA!AV54/2)+(DATA!AW54/2)</f>
        <v>5930.2040589816042</v>
      </c>
      <c r="N23" s="7">
        <f t="shared" si="2"/>
        <v>60800.153132346662</v>
      </c>
    </row>
    <row r="24" spans="1:14" x14ac:dyDescent="0.25">
      <c r="A24" t="str">
        <f>IncomeStatement_Year5!A25</f>
        <v>Research and Development</v>
      </c>
      <c r="B24" s="6">
        <f>(DATA!AK56/2)+(DATA!AL56/2)</f>
        <v>121026.28365523263</v>
      </c>
      <c r="C24" s="6">
        <f>(DATA!AL56/2)+(DATA!AM56/2)</f>
        <v>123145.09722564473</v>
      </c>
      <c r="D24" s="6">
        <f>(DATA!AM56/2)+(DATA!AN56/2)</f>
        <v>125332.57614341984</v>
      </c>
      <c r="E24" s="6">
        <f>(DATA!AN56/2)+(DATA!AO56/2)</f>
        <v>127592.15142424218</v>
      </c>
      <c r="F24" s="6">
        <f>(DATA!AO56/2)+(DATA!AP56/2)</f>
        <v>129927.45391705839</v>
      </c>
      <c r="G24" s="6">
        <f>(DATA!AP56/2)+(DATA!AQ56/2)</f>
        <v>132342.32646752737</v>
      </c>
      <c r="H24" s="6">
        <f>(DATA!AQ56/2)+(DATA!AR56/2)</f>
        <v>134840.83683315921</v>
      </c>
      <c r="I24" s="6">
        <f>(DATA!AR56/2)+(DATA!AS56/2)</f>
        <v>137427.29139696294</v>
      </c>
      <c r="J24" s="6">
        <f>(DATA!AS56/2)+(DATA!AT56/2)</f>
        <v>140106.2497293592</v>
      </c>
      <c r="K24" s="6">
        <f>(DATA!AT56/2)+(DATA!AU56/2)</f>
        <v>142882.54005123151</v>
      </c>
      <c r="L24" s="6">
        <f>(DATA!AU56/2)+(DATA!AV56/2)</f>
        <v>145761.27565430669</v>
      </c>
      <c r="M24" s="6">
        <f>(DATA!AV56/2)+(DATA!AW56/2)</f>
        <v>148747.87233858014</v>
      </c>
      <c r="N24" s="7">
        <f t="shared" si="2"/>
        <v>1609131.954836725</v>
      </c>
    </row>
    <row r="25" spans="1:14" x14ac:dyDescent="0.25">
      <c r="A25" t="str">
        <f>IncomeStatement_Year5!A26</f>
        <v>Salaries and Wages</v>
      </c>
      <c r="B25" s="6">
        <f>(DATA!AK58/2)+(DATA!AL58/2)</f>
        <v>112133.33333333334</v>
      </c>
      <c r="C25" s="6">
        <f>(DATA!AL58/2)+(DATA!AM58/2)</f>
        <v>112133.33333333334</v>
      </c>
      <c r="D25" s="6">
        <f>(DATA!AM58/2)+(DATA!AN58/2)</f>
        <v>112133.33333333334</v>
      </c>
      <c r="E25" s="6">
        <f>(DATA!AN58/2)+(DATA!AO58/2)</f>
        <v>112133.33333333334</v>
      </c>
      <c r="F25" s="6">
        <f>(DATA!AO58/2)+(DATA!AP58/2)</f>
        <v>112133.33333333334</v>
      </c>
      <c r="G25" s="6">
        <f>(DATA!AP58/2)+(DATA!AQ58/2)</f>
        <v>112133.33333333334</v>
      </c>
      <c r="H25" s="6">
        <f>(DATA!AQ58/2)+(DATA!AR58/2)</f>
        <v>112133.33333333334</v>
      </c>
      <c r="I25" s="6">
        <f>(DATA!AR58/2)+(DATA!AS58/2)</f>
        <v>112133.33333333334</v>
      </c>
      <c r="J25" s="6">
        <f>(DATA!AS58/2)+(DATA!AT58/2)</f>
        <v>112133.33333333334</v>
      </c>
      <c r="K25" s="6">
        <f>(DATA!AT58/2)+(DATA!AU58/2)</f>
        <v>112133.33333333334</v>
      </c>
      <c r="L25" s="6">
        <f>(DATA!AU58/2)+(DATA!AV58/2)</f>
        <v>112133.33333333334</v>
      </c>
      <c r="M25" s="6">
        <f>(DATA!AV58/2)+(DATA!AW58/2)</f>
        <v>112133.33333333334</v>
      </c>
      <c r="N25" s="7">
        <f t="shared" si="2"/>
        <v>1345600</v>
      </c>
    </row>
    <row r="26" spans="1:14" x14ac:dyDescent="0.25">
      <c r="A26" t="str">
        <f>IncomeStatement_Year5!A27</f>
        <v>Taxes and Licenses</v>
      </c>
      <c r="B26" s="6">
        <f>(DATA!AK59/2)+(DATA!AL59/2)</f>
        <v>1423.6857698114247</v>
      </c>
      <c r="C26" s="6">
        <f>(DATA!AL59/2)+(DATA!AM59/2)</f>
        <v>1437.9226275095389</v>
      </c>
      <c r="D26" s="6">
        <f>(DATA!AM59/2)+(DATA!AN59/2)</f>
        <v>1452.3018537846344</v>
      </c>
      <c r="E26" s="6">
        <f>(DATA!AN59/2)+(DATA!AO59/2)</f>
        <v>1466.8248723224808</v>
      </c>
      <c r="F26" s="6">
        <f>(DATA!AO59/2)+(DATA!AP59/2)</f>
        <v>1481.4931210457057</v>
      </c>
      <c r="G26" s="6">
        <f>(DATA!AP59/2)+(DATA!AQ59/2)</f>
        <v>1496.3080522561627</v>
      </c>
      <c r="H26" s="6">
        <f>(DATA!AQ59/2)+(DATA!AR59/2)</f>
        <v>1511.2711327787242</v>
      </c>
      <c r="I26" s="6">
        <f>(DATA!AR59/2)+(DATA!AS59/2)</f>
        <v>1526.3838441065116</v>
      </c>
      <c r="J26" s="6">
        <f>(DATA!AS59/2)+(DATA!AT59/2)</f>
        <v>1541.6476825475766</v>
      </c>
      <c r="K26" s="6">
        <f>(DATA!AT59/2)+(DATA!AU59/2)</f>
        <v>1557.0641593730525</v>
      </c>
      <c r="L26" s="6">
        <f>(DATA!AU59/2)+(DATA!AV59/2)</f>
        <v>1572.6348009667831</v>
      </c>
      <c r="M26" s="6">
        <f>(DATA!AV59/2)+(DATA!AW59/2)</f>
        <v>1588.3611489764507</v>
      </c>
      <c r="N26" s="7">
        <f t="shared" si="2"/>
        <v>18055.899065479047</v>
      </c>
    </row>
    <row r="27" spans="1:14" x14ac:dyDescent="0.25">
      <c r="A27" t="str">
        <f>IncomeStatement_Year5!A28</f>
        <v>Telephone &amp; Internet</v>
      </c>
      <c r="B27" s="6">
        <f>(DATA!AK61/2)+(DATA!AL61/2)</f>
        <v>711.84288490571237</v>
      </c>
      <c r="C27" s="6">
        <f>(DATA!AL61/2)+(DATA!AM61/2)</f>
        <v>718.96131375476944</v>
      </c>
      <c r="D27" s="6">
        <f>(DATA!AM61/2)+(DATA!AN61/2)</f>
        <v>726.15092689231722</v>
      </c>
      <c r="E27" s="6">
        <f>(DATA!AN61/2)+(DATA!AO61/2)</f>
        <v>733.41243616124041</v>
      </c>
      <c r="F27" s="6">
        <f>(DATA!AO61/2)+(DATA!AP61/2)</f>
        <v>740.74656052285286</v>
      </c>
      <c r="G27" s="6">
        <f>(DATA!AP61/2)+(DATA!AQ61/2)</f>
        <v>748.15402612808134</v>
      </c>
      <c r="H27" s="6">
        <f>(DATA!AQ61/2)+(DATA!AR61/2)</f>
        <v>755.63556638936211</v>
      </c>
      <c r="I27" s="6">
        <f>(DATA!AR61/2)+(DATA!AS61/2)</f>
        <v>763.19192205325578</v>
      </c>
      <c r="J27" s="6">
        <f>(DATA!AS61/2)+(DATA!AT61/2)</f>
        <v>770.82384127378828</v>
      </c>
      <c r="K27" s="6">
        <f>(DATA!AT61/2)+(DATA!AU61/2)</f>
        <v>778.53207968652623</v>
      </c>
      <c r="L27" s="6">
        <f>(DATA!AU61/2)+(DATA!AV61/2)</f>
        <v>786.31740048339157</v>
      </c>
      <c r="M27" s="6">
        <f>(DATA!AV61/2)+(DATA!AW61/2)</f>
        <v>794.18057448822537</v>
      </c>
      <c r="N27" s="7">
        <f t="shared" si="2"/>
        <v>9027.9495327395234</v>
      </c>
    </row>
    <row r="28" spans="1:14" x14ac:dyDescent="0.25">
      <c r="A28" t="s">
        <v>72</v>
      </c>
      <c r="B28" s="6">
        <f>LoanModule!D45</f>
        <v>3333.3333333333335</v>
      </c>
      <c r="C28" s="6">
        <f>LoanModule!D46</f>
        <v>3315.1130241037699</v>
      </c>
      <c r="D28" s="6">
        <f>LoanModule!D47</f>
        <v>3296.7712461460092</v>
      </c>
      <c r="E28" s="6">
        <f>LoanModule!D48</f>
        <v>3278.3071896685306</v>
      </c>
      <c r="F28" s="6">
        <f>LoanModule!D49</f>
        <v>3259.7200394812021</v>
      </c>
      <c r="G28" s="6">
        <f>LoanModule!D50</f>
        <v>3241.0089749592912</v>
      </c>
      <c r="H28" s="6">
        <f>LoanModule!D51</f>
        <v>3222.1731700072341</v>
      </c>
      <c r="I28" s="6">
        <f>LoanModule!D52</f>
        <v>3203.211793022163</v>
      </c>
      <c r="J28" s="6">
        <f>LoanModule!D53</f>
        <v>3184.1240068571919</v>
      </c>
      <c r="K28" s="6">
        <f>LoanModule!D54</f>
        <v>3164.9089687844539</v>
      </c>
      <c r="L28" s="6">
        <f>LoanModule!D55</f>
        <v>3145.5658304578978</v>
      </c>
      <c r="M28" s="6">
        <f>LoanModule!D56</f>
        <v>3126.0937378758322</v>
      </c>
      <c r="N28" s="7">
        <f t="shared" si="2"/>
        <v>38770.331314696909</v>
      </c>
    </row>
    <row r="29" spans="1:14" x14ac:dyDescent="0.25">
      <c r="A29" t="s">
        <v>89</v>
      </c>
      <c r="B29" s="6">
        <f>LoanModule!E45</f>
        <v>2733.0463844345127</v>
      </c>
      <c r="C29" s="6">
        <f>LoanModule!E46</f>
        <v>2751.2666936640762</v>
      </c>
      <c r="D29" s="6">
        <f>LoanModule!E47</f>
        <v>2769.608471621837</v>
      </c>
      <c r="E29" s="6">
        <f>LoanModule!E48</f>
        <v>2788.0725280993156</v>
      </c>
      <c r="F29" s="6">
        <f>LoanModule!E49</f>
        <v>2806.6596782866441</v>
      </c>
      <c r="G29" s="6">
        <f>LoanModule!E50</f>
        <v>2825.370742808555</v>
      </c>
      <c r="H29" s="6">
        <f>LoanModule!E51</f>
        <v>2844.206547760612</v>
      </c>
      <c r="I29" s="6">
        <f>LoanModule!E52</f>
        <v>2863.1679247456832</v>
      </c>
      <c r="J29" s="6">
        <f>LoanModule!E53</f>
        <v>2882.2557109106542</v>
      </c>
      <c r="K29" s="6">
        <f>LoanModule!E54</f>
        <v>2901.4707489833922</v>
      </c>
      <c r="L29" s="6">
        <f>LoanModule!E55</f>
        <v>2920.8138873099483</v>
      </c>
      <c r="M29" s="6">
        <f>LoanModule!E56</f>
        <v>2940.285979892014</v>
      </c>
      <c r="N29" s="7">
        <f t="shared" si="2"/>
        <v>34026.225298517245</v>
      </c>
    </row>
    <row r="30" spans="1:14" x14ac:dyDescent="0.25">
      <c r="A30" t="s">
        <v>18</v>
      </c>
      <c r="B30" s="6">
        <f>DATA!AL40</f>
        <v>0</v>
      </c>
      <c r="C30" s="6">
        <f>DATA!AM40</f>
        <v>0</v>
      </c>
      <c r="D30" s="6">
        <f>DATA!AN40</f>
        <v>0</v>
      </c>
      <c r="E30" s="6">
        <f>DATA!AO40</f>
        <v>0</v>
      </c>
      <c r="F30" s="6">
        <f>DATA!AP40</f>
        <v>0</v>
      </c>
      <c r="G30" s="6">
        <f>DATA!AQ40</f>
        <v>0</v>
      </c>
      <c r="H30" s="6">
        <f>DATA!AR40</f>
        <v>0</v>
      </c>
      <c r="I30" s="6">
        <f>DATA!AS40</f>
        <v>0</v>
      </c>
      <c r="J30" s="6">
        <f>DATA!AT40</f>
        <v>0</v>
      </c>
      <c r="K30" s="6">
        <f>DATA!AU40</f>
        <v>0</v>
      </c>
      <c r="L30" s="6">
        <f>DATA!AV40</f>
        <v>0</v>
      </c>
      <c r="M30" s="6">
        <f>DATA!AW40</f>
        <v>0</v>
      </c>
      <c r="N30" s="7">
        <f t="shared" si="2"/>
        <v>0</v>
      </c>
    </row>
    <row r="31" spans="1:14" x14ac:dyDescent="0.25">
      <c r="A31" t="s">
        <v>90</v>
      </c>
      <c r="B31" s="6">
        <f>IF(DATA!E19=B5,DATA!B19,0)+IF(DATA!E22=B5,DATA!B22,0)</f>
        <v>0</v>
      </c>
      <c r="C31" s="6">
        <f>IF(DATA!E19=C5,DATA!B19,0)+IF(DATA!E22=C5,DATA!B22,0)</f>
        <v>0</v>
      </c>
      <c r="D31" s="6">
        <f>IF(DATA!E19=D5,DATA!B19,0)+IF(DATA!E22=D5,DATA!B22,0)</f>
        <v>0</v>
      </c>
      <c r="E31" s="6">
        <f>IF(DATA!E19=E5,DATA!B19,0)+IF(DATA!E22=E5,DATA!B22,0)</f>
        <v>0</v>
      </c>
      <c r="F31" s="6">
        <f>IF(DATA!E19=F5,DATA!B19,0)+IF(DATA!E22=F5,DATA!B22,0)</f>
        <v>0</v>
      </c>
      <c r="G31" s="6">
        <f>IF(DATA!E19=G5,DATA!B19,0)+IF(DATA!E22=G5,DATA!B22,0)</f>
        <v>0</v>
      </c>
      <c r="H31" s="6">
        <f>IF(DATA!E19=H5,DATA!B19,0)+IF(DATA!E22=H5,DATA!B22,0)</f>
        <v>0</v>
      </c>
      <c r="I31" s="6">
        <f>IF(DATA!E19=I5,DATA!B19,0)+IF(DATA!E22=I5,DATA!B22,0)</f>
        <v>0</v>
      </c>
      <c r="J31" s="6">
        <f>IF(DATA!E19=J5,DATA!B19,0)+IF(DATA!E22=J5,DATA!B22,0)</f>
        <v>0</v>
      </c>
      <c r="K31" s="6">
        <f>IF(DATA!E19=K5,DATA!B19,0)+IF(DATA!E22=K5,DATA!B22,0)</f>
        <v>0</v>
      </c>
      <c r="L31" s="6">
        <f>IF(DATA!E19=L5,DATA!B19,0)+IF(DATA!E22=L5,DATA!B22,0)</f>
        <v>0</v>
      </c>
      <c r="M31" s="6">
        <f>IF(DATA!E19=M5,DATA!B19,0)+IF(DATA!E22=M5,DATA!B22,0)</f>
        <v>0</v>
      </c>
      <c r="N31" s="7">
        <f t="shared" si="2"/>
        <v>0</v>
      </c>
    </row>
    <row r="32" spans="1:14" x14ac:dyDescent="0.25">
      <c r="A32" t="s">
        <v>91</v>
      </c>
      <c r="B32" s="6">
        <f>((DATA!$B$74*DATA!AK79)/2)+((DATA!$B$74*DATA!AL79)/2)</f>
        <v>0</v>
      </c>
      <c r="C32" s="6">
        <f>((DATA!$B$74*DATA!AL79)/2)+((DATA!$B$74*DATA!AM79)/2)</f>
        <v>0</v>
      </c>
      <c r="D32" s="6">
        <f>((DATA!$B$74*DATA!AM79)/2)+((DATA!$B$74*DATA!AN79)/2)</f>
        <v>0</v>
      </c>
      <c r="E32" s="6">
        <f>((DATA!$B$74*DATA!AN79)/2)+((DATA!$B$74*DATA!AO79)/2)</f>
        <v>0</v>
      </c>
      <c r="F32" s="6">
        <f>((DATA!$B$74*DATA!AO79)/2)+((DATA!$B$74*DATA!AP79)/2)</f>
        <v>0</v>
      </c>
      <c r="G32" s="6">
        <f>((DATA!$B$74*DATA!AP79)/2)+((DATA!$B$74*DATA!AQ79)/2)</f>
        <v>0</v>
      </c>
      <c r="H32" s="6">
        <f>((DATA!$B$74*DATA!AQ79)/2)+((DATA!$B$74*DATA!AR79)/2)</f>
        <v>0</v>
      </c>
      <c r="I32" s="6">
        <f>((DATA!$B$74*DATA!AR79)/2)+((DATA!$B$74*DATA!AS79)/2)</f>
        <v>0</v>
      </c>
      <c r="J32" s="6">
        <f>((DATA!$B$74*DATA!AS79)/2)+((DATA!$B$74*DATA!AT79)/2)</f>
        <v>0</v>
      </c>
      <c r="K32" s="6">
        <f>((DATA!$B$74*DATA!AT79)/2)+((DATA!$B$74*DATA!AU79)/2)</f>
        <v>0</v>
      </c>
      <c r="L32" s="6">
        <f>((DATA!$B$74*DATA!AU79)/2)+((DATA!$B$74*DATA!AV79)/2)</f>
        <v>0</v>
      </c>
      <c r="M32" s="6">
        <f>((DATA!$B$74*DATA!AV79)/2)+((DATA!$B$74*DATA!AW79)/2)</f>
        <v>0</v>
      </c>
      <c r="N32" s="7">
        <f t="shared" si="2"/>
        <v>0</v>
      </c>
    </row>
    <row r="33" spans="1:14" x14ac:dyDescent="0.25">
      <c r="A33" t="s">
        <v>77</v>
      </c>
      <c r="B33" s="6">
        <f>IncomeStatement_Year4!B36</f>
        <v>53403.908488945359</v>
      </c>
      <c r="C33" s="6">
        <f>IncomeStatement_Year4!C36</f>
        <v>53403.908488945359</v>
      </c>
      <c r="D33" s="6">
        <f>IncomeStatement_Year4!D36</f>
        <v>53403.908488945359</v>
      </c>
      <c r="E33" s="6">
        <f>IncomeStatement_Year4!E36</f>
        <v>53403.908488945359</v>
      </c>
      <c r="F33" s="6">
        <f>IncomeStatement_Year4!F36</f>
        <v>53403.908488945359</v>
      </c>
      <c r="G33" s="6">
        <f>IncomeStatement_Year4!G36</f>
        <v>53403.908488945359</v>
      </c>
      <c r="H33" s="6">
        <f>IncomeStatement_Year4!H36</f>
        <v>53403.908488945359</v>
      </c>
      <c r="I33" s="6">
        <f>IncomeStatement_Year4!I36</f>
        <v>53403.908488945359</v>
      </c>
      <c r="J33" s="6">
        <f>IncomeStatement_Year4!J36</f>
        <v>53403.908488945359</v>
      </c>
      <c r="K33" s="6">
        <f>IncomeStatement_Year4!K36</f>
        <v>53403.908488945359</v>
      </c>
      <c r="L33" s="6">
        <f>IncomeStatement_Year4!L36</f>
        <v>53403.908488945359</v>
      </c>
      <c r="M33" s="6">
        <f>IncomeStatement_Year4!M36</f>
        <v>53403.908488945359</v>
      </c>
      <c r="N33" s="7">
        <f t="shared" si="2"/>
        <v>640846.90186734416</v>
      </c>
    </row>
    <row r="34" spans="1:14" x14ac:dyDescent="0.25">
      <c r="A34" t="s">
        <v>92</v>
      </c>
      <c r="B34" s="6">
        <f>'Inventory Module'!AK26-'Inventory Module'!AL26</f>
        <v>-463180.41549273743</v>
      </c>
      <c r="C34" s="6">
        <f>'Inventory Module'!AL26-'Inventory Module'!AM26</f>
        <v>525718.68194661336</v>
      </c>
      <c r="D34" s="6">
        <f>'Inventory Module'!AM26-'Inventory Module'!AN26</f>
        <v>-445097.21058920759</v>
      </c>
      <c r="E34" s="6">
        <f>'Inventory Module'!AN26-'Inventory Module'!AO26</f>
        <v>537899.58186866378</v>
      </c>
      <c r="F34" s="6">
        <f>'Inventory Module'!AO26-'Inventory Module'!AP26</f>
        <v>-425829.49743038986</v>
      </c>
      <c r="G34" s="6">
        <f>'Inventory Module'!AP26-'Inventory Module'!AQ26</f>
        <v>537433.94159596111</v>
      </c>
      <c r="H34" s="6">
        <f>'Inventory Module'!AQ26-'Inventory Module'!AR26</f>
        <v>-405281.78170556988</v>
      </c>
      <c r="I34" s="6">
        <f>'Inventory Module'!AR26-'Inventory Module'!AS26</f>
        <v>585556.66584972455</v>
      </c>
      <c r="J34" s="6">
        <f>'Inventory Module'!AS26-'Inventory Module'!AT26</f>
        <v>-389773.32170235063</v>
      </c>
      <c r="K34" s="6">
        <f>'Inventory Module'!AT26-'Inventory Module'!AU26</f>
        <v>-371610.09075522597</v>
      </c>
      <c r="L34" s="6">
        <f>'Inventory Module'!AU26-'Inventory Module'!AV26</f>
        <v>593304.84504215629</v>
      </c>
      <c r="M34" s="6">
        <f>'Inventory Module'!AV26-'Inventory Module'!AW26</f>
        <v>-347120.68456460332</v>
      </c>
      <c r="N34" s="7">
        <f t="shared" si="2"/>
        <v>-67979.285936965607</v>
      </c>
    </row>
    <row r="35" spans="1:14" x14ac:dyDescent="0.25">
      <c r="A35" s="4" t="s">
        <v>93</v>
      </c>
      <c r="B35" s="9">
        <f t="shared" ref="B35:M35" si="3">SUM(B15:B33)-B34</f>
        <v>1426016.1923998515</v>
      </c>
      <c r="C35" s="9">
        <f t="shared" si="3"/>
        <v>450305.2955573767</v>
      </c>
      <c r="D35" s="9">
        <f t="shared" si="3"/>
        <v>1434727.6525307046</v>
      </c>
      <c r="E35" s="9">
        <f t="shared" si="3"/>
        <v>465776.22536251333</v>
      </c>
      <c r="F35" s="9">
        <f t="shared" si="3"/>
        <v>1444011.3904188932</v>
      </c>
      <c r="G35" s="9">
        <f t="shared" si="3"/>
        <v>495737.83045821579</v>
      </c>
      <c r="H35" s="9">
        <f t="shared" si="3"/>
        <v>1453951.6270952919</v>
      </c>
      <c r="I35" s="9">
        <f t="shared" si="3"/>
        <v>479145.25565799954</v>
      </c>
      <c r="J35" s="9">
        <f t="shared" si="3"/>
        <v>1471068.6224153743</v>
      </c>
      <c r="K35" s="9">
        <f t="shared" si="3"/>
        <v>1470088.9552032719</v>
      </c>
      <c r="L35" s="9">
        <f t="shared" si="3"/>
        <v>522978.32501129131</v>
      </c>
      <c r="M35" s="9">
        <f t="shared" si="3"/>
        <v>1481861.2358388745</v>
      </c>
      <c r="N35" s="9">
        <f t="shared" si="2"/>
        <v>12595668.607949659</v>
      </c>
    </row>
    <row r="37" spans="1:14" x14ac:dyDescent="0.25">
      <c r="A37" s="4" t="s">
        <v>94</v>
      </c>
      <c r="B37" s="10">
        <f t="shared" ref="B37:M37" si="4">B12-B35</f>
        <v>-205326.78380288277</v>
      </c>
      <c r="C37" s="10">
        <f t="shared" si="4"/>
        <v>791907.24035854894</v>
      </c>
      <c r="D37" s="10">
        <f t="shared" si="4"/>
        <v>-170288.66557823354</v>
      </c>
      <c r="E37" s="10">
        <f t="shared" si="4"/>
        <v>821627.81616985926</v>
      </c>
      <c r="F37" s="10">
        <f t="shared" si="4"/>
        <v>-132866.35361009813</v>
      </c>
      <c r="G37" s="10">
        <f t="shared" si="4"/>
        <v>839963.66208353627</v>
      </c>
      <c r="H37" s="10">
        <f t="shared" si="4"/>
        <v>-92836.382973860251</v>
      </c>
      <c r="I37" s="10">
        <f t="shared" si="4"/>
        <v>908285.32815982751</v>
      </c>
      <c r="J37" s="10">
        <f t="shared" si="4"/>
        <v>-56374.211646017386</v>
      </c>
      <c r="K37" s="10">
        <f t="shared" si="4"/>
        <v>-27132.564947999083</v>
      </c>
      <c r="L37" s="10">
        <f t="shared" si="4"/>
        <v>949290.79781956947</v>
      </c>
      <c r="M37" s="10">
        <f t="shared" si="4"/>
        <v>20827.088101867819</v>
      </c>
      <c r="N37" s="10">
        <f>SUM(B37:M37)</f>
        <v>3647076.9701341176</v>
      </c>
    </row>
    <row r="39" spans="1:14" x14ac:dyDescent="0.25">
      <c r="A39" s="4" t="s">
        <v>95</v>
      </c>
      <c r="B39" s="7">
        <f>B37</f>
        <v>-205326.78380288277</v>
      </c>
      <c r="C39" s="7">
        <f t="shared" ref="C39:M39" si="5">B39+C37</f>
        <v>586580.45655566617</v>
      </c>
      <c r="D39" s="7">
        <f t="shared" si="5"/>
        <v>416291.79097743263</v>
      </c>
      <c r="E39" s="7">
        <f t="shared" si="5"/>
        <v>1237919.6071472918</v>
      </c>
      <c r="F39" s="7">
        <f t="shared" si="5"/>
        <v>1105053.2535371936</v>
      </c>
      <c r="G39" s="7">
        <f t="shared" si="5"/>
        <v>1945016.9156207298</v>
      </c>
      <c r="H39" s="7">
        <f t="shared" si="5"/>
        <v>1852180.5326468695</v>
      </c>
      <c r="I39" s="7">
        <f t="shared" si="5"/>
        <v>2760465.860806697</v>
      </c>
      <c r="J39" s="7">
        <f t="shared" si="5"/>
        <v>2704091.6491606794</v>
      </c>
      <c r="K39" s="7">
        <f t="shared" si="5"/>
        <v>2676959.0842126803</v>
      </c>
      <c r="L39" s="7">
        <f t="shared" si="5"/>
        <v>3626249.8820322501</v>
      </c>
      <c r="M39" s="7">
        <f t="shared" si="5"/>
        <v>3647076.9701341176</v>
      </c>
      <c r="N39" s="7">
        <f>M39</f>
        <v>3647076.9701341176</v>
      </c>
    </row>
    <row r="44" spans="1:14" x14ac:dyDescent="0.25">
      <c r="A44" t="s">
        <v>79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16" workbookViewId="0">
      <selection activeCell="G31" sqref="G31"/>
    </sheetView>
  </sheetViews>
  <sheetFormatPr defaultColWidth="8.85546875" defaultRowHeight="15" x14ac:dyDescent="0.25"/>
  <cols>
    <col min="1" max="1" width="29.42578125" bestFit="1" customWidth="1"/>
    <col min="2" max="14" width="11.85546875" bestFit="1" customWidth="1"/>
  </cols>
  <sheetData>
    <row r="1" spans="1:14" x14ac:dyDescent="0.25">
      <c r="A1" t="str">
        <f>DATA!B1</f>
        <v>Example Manufacturing Company</v>
      </c>
    </row>
    <row r="2" spans="1:14" x14ac:dyDescent="0.25">
      <c r="A2" t="s">
        <v>82</v>
      </c>
    </row>
    <row r="3" spans="1:14" x14ac:dyDescent="0.25">
      <c r="A3" t="s">
        <v>138</v>
      </c>
    </row>
    <row r="5" spans="1:14" x14ac:dyDescent="0.25">
      <c r="B5">
        <v>49</v>
      </c>
      <c r="C5">
        <v>50</v>
      </c>
      <c r="D5">
        <v>51</v>
      </c>
      <c r="E5">
        <v>52</v>
      </c>
      <c r="F5">
        <v>53</v>
      </c>
      <c r="G5">
        <v>54</v>
      </c>
      <c r="H5">
        <v>55</v>
      </c>
      <c r="I5">
        <v>56</v>
      </c>
      <c r="J5">
        <v>57</v>
      </c>
      <c r="K5">
        <v>58</v>
      </c>
      <c r="L5">
        <v>59</v>
      </c>
      <c r="M5">
        <v>60</v>
      </c>
      <c r="N5" s="4" t="s">
        <v>138</v>
      </c>
    </row>
    <row r="7" spans="1:14" x14ac:dyDescent="0.25">
      <c r="A7" s="4" t="s">
        <v>83</v>
      </c>
      <c r="B7" s="6">
        <f>CashFlowStatement_Year4!M7+CashFlowStatement_Year4!M37</f>
        <v>13611412.199404445</v>
      </c>
      <c r="C7" s="6">
        <f t="shared" ref="C7:M7" si="0">B7+B37</f>
        <v>14608666.426164718</v>
      </c>
      <c r="D7" s="6">
        <f t="shared" si="0"/>
        <v>14658915.545651052</v>
      </c>
      <c r="E7" s="6">
        <f t="shared" si="0"/>
        <v>14729991.286356337</v>
      </c>
      <c r="F7" s="6">
        <f t="shared" si="0"/>
        <v>15795490.390889931</v>
      </c>
      <c r="G7" s="6">
        <f t="shared" si="0"/>
        <v>15924793.360103333</v>
      </c>
      <c r="H7" s="6">
        <f t="shared" si="0"/>
        <v>16091717.115311459</v>
      </c>
      <c r="I7" s="6">
        <f t="shared" si="0"/>
        <v>16284238.968004828</v>
      </c>
      <c r="J7" s="6">
        <f t="shared" si="0"/>
        <v>17469464.917465806</v>
      </c>
      <c r="K7" s="6">
        <f t="shared" si="0"/>
        <v>17737376.796272498</v>
      </c>
      <c r="L7" s="6">
        <f t="shared" si="0"/>
        <v>18035215.983567137</v>
      </c>
      <c r="M7" s="6">
        <f t="shared" si="0"/>
        <v>18371303.091796778</v>
      </c>
      <c r="N7" s="7">
        <f>M7</f>
        <v>18371303.091796778</v>
      </c>
    </row>
    <row r="9" spans="1:14" x14ac:dyDescent="0.25">
      <c r="A9" s="4" t="s">
        <v>84</v>
      </c>
    </row>
    <row r="10" spans="1:14" x14ac:dyDescent="0.25">
      <c r="A10" t="s">
        <v>31</v>
      </c>
      <c r="B10" s="6">
        <f>DATA!AX85</f>
        <v>1534273.0146642369</v>
      </c>
      <c r="C10" s="6">
        <f>DATA!AY85</f>
        <v>1567085.7242877791</v>
      </c>
      <c r="D10" s="6">
        <f>DATA!AZ85</f>
        <v>1601192.7054430686</v>
      </c>
      <c r="E10" s="6">
        <f>DATA!BA85</f>
        <v>1636664.1625960243</v>
      </c>
      <c r="F10" s="6">
        <f>DATA!BB85</f>
        <v>1673574.4947209877</v>
      </c>
      <c r="G10" s="6">
        <f>DATA!BC85</f>
        <v>1712002.5530470735</v>
      </c>
      <c r="H10" s="6">
        <f>DATA!BD85</f>
        <v>1752031.9148193756</v>
      </c>
      <c r="I10" s="6">
        <f>DATA!BE85</f>
        <v>1793751.1740770428</v>
      </c>
      <c r="J10" s="6">
        <f>DATA!BF85</f>
        <v>1837254.2505133438</v>
      </c>
      <c r="K10" s="6">
        <f>DATA!BG85</f>
        <v>1882640.7175498905</v>
      </c>
      <c r="L10" s="6">
        <f>DATA!BH85</f>
        <v>1930016.1508285464</v>
      </c>
      <c r="M10" s="6">
        <f>DATA!BI85</f>
        <v>1979492.4984003715</v>
      </c>
      <c r="N10" s="7">
        <f>SUM(B10:M10)</f>
        <v>20899979.360947743</v>
      </c>
    </row>
    <row r="11" spans="1:14" x14ac:dyDescent="0.25">
      <c r="A11" t="s">
        <v>58</v>
      </c>
      <c r="B11" s="6">
        <f>0</f>
        <v>0</v>
      </c>
      <c r="C11" s="6">
        <f>0</f>
        <v>0</v>
      </c>
      <c r="D11" s="6">
        <f>0</f>
        <v>0</v>
      </c>
      <c r="E11" s="6">
        <f>0</f>
        <v>0</v>
      </c>
      <c r="F11" s="6">
        <f>0</f>
        <v>0</v>
      </c>
      <c r="G11" s="6">
        <f>0</f>
        <v>0</v>
      </c>
      <c r="H11" s="6">
        <f>0</f>
        <v>0</v>
      </c>
      <c r="I11" s="6">
        <f>0</f>
        <v>0</v>
      </c>
      <c r="J11" s="6">
        <f>0</f>
        <v>0</v>
      </c>
      <c r="K11" s="6">
        <f>0</f>
        <v>0</v>
      </c>
      <c r="L11" s="6">
        <f>0</f>
        <v>0</v>
      </c>
      <c r="M11" s="6">
        <f>0</f>
        <v>0</v>
      </c>
      <c r="N11" s="7">
        <f>SUM(B11:M11)</f>
        <v>0</v>
      </c>
    </row>
    <row r="12" spans="1:14" x14ac:dyDescent="0.25">
      <c r="A12" s="4" t="s">
        <v>85</v>
      </c>
      <c r="B12" s="9">
        <f t="shared" ref="B12:M12" si="1">SUM(B10:B11)</f>
        <v>1534273.0146642369</v>
      </c>
      <c r="C12" s="9">
        <f t="shared" si="1"/>
        <v>1567085.7242877791</v>
      </c>
      <c r="D12" s="9">
        <f t="shared" si="1"/>
        <v>1601192.7054430686</v>
      </c>
      <c r="E12" s="9">
        <f t="shared" si="1"/>
        <v>1636664.1625960243</v>
      </c>
      <c r="F12" s="9">
        <f t="shared" si="1"/>
        <v>1673574.4947209877</v>
      </c>
      <c r="G12" s="9">
        <f t="shared" si="1"/>
        <v>1712002.5530470735</v>
      </c>
      <c r="H12" s="9">
        <f t="shared" si="1"/>
        <v>1752031.9148193756</v>
      </c>
      <c r="I12" s="9">
        <f t="shared" si="1"/>
        <v>1793751.1740770428</v>
      </c>
      <c r="J12" s="9">
        <f t="shared" si="1"/>
        <v>1837254.2505133438</v>
      </c>
      <c r="K12" s="9">
        <f t="shared" si="1"/>
        <v>1882640.7175498905</v>
      </c>
      <c r="L12" s="9">
        <f t="shared" si="1"/>
        <v>1930016.1508285464</v>
      </c>
      <c r="M12" s="9">
        <f t="shared" si="1"/>
        <v>1979492.4984003715</v>
      </c>
      <c r="N12" s="9">
        <f>SUM(B12:M12)</f>
        <v>20899979.360947743</v>
      </c>
    </row>
    <row r="14" spans="1:14" x14ac:dyDescent="0.25">
      <c r="A14" s="4" t="s">
        <v>86</v>
      </c>
    </row>
    <row r="15" spans="1:14" x14ac:dyDescent="0.25">
      <c r="A15" t="s">
        <v>87</v>
      </c>
      <c r="B15" s="6">
        <f>(DATA!AW80/2)+(DATA!AX80/2)</f>
        <v>551955.45217313548</v>
      </c>
      <c r="C15" s="6">
        <f>(DATA!AX80/2)+(DATA!AY80/2)</f>
        <v>562878.00492514437</v>
      </c>
      <c r="D15" s="6">
        <f>(DATA!AY80/2)+(DATA!AZ80/2)</f>
        <v>574219.62042715144</v>
      </c>
      <c r="E15" s="6">
        <f>(DATA!AZ80/2)+(DATA!BA80/2)</f>
        <v>586002.58644450852</v>
      </c>
      <c r="F15" s="6">
        <f>(DATA!BA80/2)+(DATA!BB80/2)</f>
        <v>598250.4851805066</v>
      </c>
      <c r="G15" s="6">
        <f>(DATA!BB80/2)+(DATA!BC80/2)</f>
        <v>610988.27009588783</v>
      </c>
      <c r="H15" s="6">
        <f>(DATA!BC80/2)+(DATA!BD80/2)</f>
        <v>624242.34731669899</v>
      </c>
      <c r="I15" s="6">
        <f>(DATA!BD80/2)+(DATA!BE80/2)</f>
        <v>638040.66190532385</v>
      </c>
      <c r="J15" s="6">
        <f>(DATA!BE80/2)+(DATA!BF80/2)</f>
        <v>652412.78928602277</v>
      </c>
      <c r="K15" s="6">
        <f>(DATA!BF80/2)+(DATA!BG80/2)</f>
        <v>667390.03213380161</v>
      </c>
      <c r="L15" s="6">
        <f>(DATA!BG80/2)+(DATA!BH80/2)</f>
        <v>683005.52305396134</v>
      </c>
      <c r="M15" s="6">
        <f>(DATA!BH80/2)+(DATA!BI80/2)</f>
        <v>699294.33339934598</v>
      </c>
      <c r="N15" s="7">
        <f t="shared" ref="N15:N35" si="2">SUM(B15:M15)</f>
        <v>7448680.1063414887</v>
      </c>
    </row>
    <row r="16" spans="1:14" x14ac:dyDescent="0.25">
      <c r="A16" t="s">
        <v>88</v>
      </c>
      <c r="B16" s="6">
        <f>(DATA!AW81/2)+(DATA!AX81/2)</f>
        <v>30177.231527672837</v>
      </c>
      <c r="C16" s="6">
        <f>(DATA!AX81/2)+(DATA!AY81/2)</f>
        <v>30810.081521374457</v>
      </c>
      <c r="D16" s="6">
        <f>(DATA!AY81/2)+(DATA!AZ81/2)</f>
        <v>31467.594786199727</v>
      </c>
      <c r="E16" s="6">
        <f>(DATA!AZ81/2)+(DATA!BA81/2)</f>
        <v>32151.101753592931</v>
      </c>
      <c r="F16" s="6">
        <f>(DATA!BA81/2)+(DATA!BB81/2)</f>
        <v>32862.011876834382</v>
      </c>
      <c r="G16" s="6">
        <f>(DATA!BB81/2)+(DATA!BC81/2)</f>
        <v>33601.818448419726</v>
      </c>
      <c r="H16" s="6">
        <f>(DATA!BC81/2)+(DATA!BD81/2)</f>
        <v>34372.103713761884</v>
      </c>
      <c r="I16" s="6">
        <f>(DATA!BD81/2)+(DATA!BE81/2)</f>
        <v>35174.544299530957</v>
      </c>
      <c r="J16" s="6">
        <f>(DATA!BE81/2)+(DATA!BF81/2)</f>
        <v>36010.916976083681</v>
      </c>
      <c r="K16" s="6">
        <f>(DATA!BF81/2)+(DATA!BG81/2)</f>
        <v>36883.104774641324</v>
      </c>
      <c r="L16" s="6">
        <f>(DATA!BG81/2)+(DATA!BH81/2)</f>
        <v>37793.10348115753</v>
      </c>
      <c r="M16" s="6">
        <f>(DATA!BH81/2)+(DATA!BI81/2)</f>
        <v>38743.028530179887</v>
      </c>
      <c r="N16" s="7">
        <f t="shared" si="2"/>
        <v>410046.64168944937</v>
      </c>
    </row>
    <row r="17" spans="1:14" x14ac:dyDescent="0.25">
      <c r="A17" t="str">
        <f>IncomeStatement_Year5!A18</f>
        <v>Professional, Accounting and Legal</v>
      </c>
      <c r="B17" s="6">
        <f>(DATA!AW43/2)+(DATA!AX43/2)</f>
        <v>54146.823425587143</v>
      </c>
      <c r="C17" s="6">
        <f>(DATA!AX43/2)+(DATA!AY43/2)</f>
        <v>55273.777931660283</v>
      </c>
      <c r="D17" s="6">
        <f>(DATA!AY43/2)+(DATA!AZ43/2)</f>
        <v>56444.872520289842</v>
      </c>
      <c r="E17" s="6">
        <f>(DATA!AZ43/2)+(DATA!BA43/2)</f>
        <v>57662.495190684131</v>
      </c>
      <c r="F17" s="6">
        <f>(DATA!BA43/2)+(DATA!BB43/2)</f>
        <v>58929.176503047718</v>
      </c>
      <c r="G17" s="6">
        <f>(DATA!BB43/2)+(DATA!BC43/2)</f>
        <v>60247.598335941075</v>
      </c>
      <c r="H17" s="6">
        <f>(DATA!BC43/2)+(DATA!BD43/2)</f>
        <v>61620.603187662869</v>
      </c>
      <c r="I17" s="6">
        <f>(DATA!BD43/2)+(DATA!BE43/2)</f>
        <v>63051.204055687325</v>
      </c>
      <c r="J17" s="6">
        <f>(DATA!BE43/2)+(DATA!BF43/2)</f>
        <v>64542.594930331776</v>
      </c>
      <c r="K17" s="6">
        <f>(DATA!BF43/2)+(DATA!BG43/2)</f>
        <v>66098.161941106606</v>
      </c>
      <c r="L17" s="6">
        <f>(DATA!BG43/2)+(DATA!BH43/2)</f>
        <v>67721.495196622651</v>
      </c>
      <c r="M17" s="6">
        <f>(DATA!BH43/2)+(DATA!BI43/2)</f>
        <v>69416.401361506068</v>
      </c>
      <c r="N17" s="7">
        <f t="shared" si="2"/>
        <v>735155.20458012749</v>
      </c>
    </row>
    <row r="18" spans="1:14" x14ac:dyDescent="0.25">
      <c r="A18" t="str">
        <f>IncomeStatement_Year5!A19</f>
        <v>Marketing &amp; Advertising</v>
      </c>
      <c r="B18" s="6">
        <f>(DATA!AW45/2)+(DATA!AX45/2)</f>
        <v>15570.641593730517</v>
      </c>
      <c r="C18" s="6">
        <f>(DATA!AX45/2)+(DATA!AY45/2)</f>
        <v>15726.348009667823</v>
      </c>
      <c r="D18" s="6">
        <f>(DATA!AY45/2)+(DATA!AZ45/2)</f>
        <v>15883.611489764502</v>
      </c>
      <c r="E18" s="6">
        <f>(DATA!AZ45/2)+(DATA!BA45/2)</f>
        <v>16042.447604662146</v>
      </c>
      <c r="F18" s="6">
        <f>(DATA!BA45/2)+(DATA!BB45/2)</f>
        <v>16202.872080708768</v>
      </c>
      <c r="G18" s="6">
        <f>(DATA!BB45/2)+(DATA!BC45/2)</f>
        <v>16364.900801515856</v>
      </c>
      <c r="H18" s="6">
        <f>(DATA!BC45/2)+(DATA!BD45/2)</f>
        <v>16528.549809531014</v>
      </c>
      <c r="I18" s="6">
        <f>(DATA!BD45/2)+(DATA!BE45/2)</f>
        <v>16693.835307626323</v>
      </c>
      <c r="J18" s="6">
        <f>(DATA!BE45/2)+(DATA!BF45/2)</f>
        <v>16860.773660702587</v>
      </c>
      <c r="K18" s="6">
        <f>(DATA!BF45/2)+(DATA!BG45/2)</f>
        <v>17029.381397309611</v>
      </c>
      <c r="L18" s="6">
        <f>(DATA!BG45/2)+(DATA!BH45/2)</f>
        <v>17199.675211282709</v>
      </c>
      <c r="M18" s="6">
        <f>(DATA!BH45/2)+(DATA!BI45/2)</f>
        <v>17371.671963395536</v>
      </c>
      <c r="N18" s="7">
        <f t="shared" si="2"/>
        <v>197474.70892989734</v>
      </c>
    </row>
    <row r="19" spans="1:14" x14ac:dyDescent="0.25">
      <c r="A19" t="str">
        <f>IncomeStatement_Year5!A20</f>
        <v>Contingency Expense</v>
      </c>
      <c r="B19" s="6">
        <f>(DATA!AW46/2)+(DATA!AX46/2)</f>
        <v>151848.06693024898</v>
      </c>
      <c r="C19" s="6">
        <f>(DATA!AX46/2)+(DATA!AY46/2)</f>
        <v>155067.9369476008</v>
      </c>
      <c r="D19" s="6">
        <f>(DATA!AY46/2)+(DATA!AZ46/2)</f>
        <v>158413.92148654239</v>
      </c>
      <c r="E19" s="6">
        <f>(DATA!AZ46/2)+(DATA!BA46/2)</f>
        <v>161892.84340195465</v>
      </c>
      <c r="F19" s="6">
        <f>(DATA!BA46/2)+(DATA!BB46/2)</f>
        <v>165511.93286585063</v>
      </c>
      <c r="G19" s="6">
        <f>(DATA!BB46/2)+(DATA!BC46/2)</f>
        <v>169278.85238840309</v>
      </c>
      <c r="H19" s="6">
        <f>(DATA!BC46/2)+(DATA!BD46/2)</f>
        <v>173201.72339332246</v>
      </c>
      <c r="I19" s="6">
        <f>(DATA!BD46/2)+(DATA!BE46/2)</f>
        <v>177289.15444482095</v>
      </c>
      <c r="J19" s="6">
        <f>(DATA!BE46/2)+(DATA!BF46/2)</f>
        <v>181550.27122951933</v>
      </c>
      <c r="K19" s="6">
        <f>(DATA!BF46/2)+(DATA!BG46/2)</f>
        <v>185994.74840316174</v>
      </c>
      <c r="L19" s="6">
        <f>(DATA!BG46/2)+(DATA!BH46/2)</f>
        <v>190632.84341892187</v>
      </c>
      <c r="M19" s="6">
        <f>(DATA!BH46/2)+(DATA!BI46/2)</f>
        <v>195475.43246144592</v>
      </c>
      <c r="N19" s="7">
        <f t="shared" si="2"/>
        <v>2066157.7273717928</v>
      </c>
    </row>
    <row r="20" spans="1:14" x14ac:dyDescent="0.25">
      <c r="A20" t="str">
        <f>IncomeStatement_Year5!A21</f>
        <v>Business Insurance</v>
      </c>
      <c r="B20" s="6">
        <f>(DATA!AW48/2)+(DATA!AX48/2)</f>
        <v>7073.9226772099591</v>
      </c>
      <c r="C20" s="6">
        <f>(DATA!AX48/2)+(DATA!AY48/2)</f>
        <v>7202.7174779040324</v>
      </c>
      <c r="D20" s="6">
        <f>(DATA!AY48/2)+(DATA!AZ48/2)</f>
        <v>7336.5568594616961</v>
      </c>
      <c r="E20" s="6">
        <f>(DATA!AZ48/2)+(DATA!BA48/2)</f>
        <v>7475.7137360781862</v>
      </c>
      <c r="F20" s="6">
        <f>(DATA!BA48/2)+(DATA!BB48/2)</f>
        <v>7620.4773146340249</v>
      </c>
      <c r="G20" s="6">
        <f>(DATA!BB48/2)+(DATA!BC48/2)</f>
        <v>7771.1540955361234</v>
      </c>
      <c r="H20" s="6">
        <f>(DATA!BC48/2)+(DATA!BD48/2)</f>
        <v>7928.0689357328993</v>
      </c>
      <c r="I20" s="6">
        <f>(DATA!BD48/2)+(DATA!BE48/2)</f>
        <v>8091.5661777928372</v>
      </c>
      <c r="J20" s="6">
        <f>(DATA!BE48/2)+(DATA!BF48/2)</f>
        <v>8262.0108491807732</v>
      </c>
      <c r="K20" s="6">
        <f>(DATA!BF48/2)+(DATA!BG48/2)</f>
        <v>8439.7899361264681</v>
      </c>
      <c r="L20" s="6">
        <f>(DATA!BG48/2)+(DATA!BH48/2)</f>
        <v>8625.3137367568743</v>
      </c>
      <c r="M20" s="6">
        <f>(DATA!BH48/2)+(DATA!BI48/2)</f>
        <v>8819.0172984578348</v>
      </c>
      <c r="N20" s="7">
        <f t="shared" si="2"/>
        <v>94646.3090948717</v>
      </c>
    </row>
    <row r="21" spans="1:14" x14ac:dyDescent="0.25">
      <c r="A21" t="str">
        <f>IncomeStatement_Year5!A22</f>
        <v>Maintenance and Repairs</v>
      </c>
      <c r="B21" s="6">
        <f>(DATA!AW50/2)+(DATA!AX50/2)</f>
        <v>9110.8840158149378</v>
      </c>
      <c r="C21" s="6">
        <f>(DATA!AX50/2)+(DATA!AY50/2)</f>
        <v>9304.0762168560486</v>
      </c>
      <c r="D21" s="6">
        <f>(DATA!AY50/2)+(DATA!AZ50/2)</f>
        <v>9504.8352891925424</v>
      </c>
      <c r="E21" s="6">
        <f>(DATA!AZ50/2)+(DATA!BA50/2)</f>
        <v>9713.570604117278</v>
      </c>
      <c r="F21" s="6">
        <f>(DATA!BA50/2)+(DATA!BB50/2)</f>
        <v>9930.7159719510364</v>
      </c>
      <c r="G21" s="6">
        <f>(DATA!BB50/2)+(DATA!BC50/2)</f>
        <v>10156.731143304183</v>
      </c>
      <c r="H21" s="6">
        <f>(DATA!BC50/2)+(DATA!BD50/2)</f>
        <v>10392.103403599347</v>
      </c>
      <c r="I21" s="6">
        <f>(DATA!BD50/2)+(DATA!BE50/2)</f>
        <v>10637.349266689256</v>
      </c>
      <c r="J21" s="6">
        <f>(DATA!BE50/2)+(DATA!BF50/2)</f>
        <v>10893.016273771162</v>
      </c>
      <c r="K21" s="6">
        <f>(DATA!BF50/2)+(DATA!BG50/2)</f>
        <v>11159.684904189704</v>
      </c>
      <c r="L21" s="6">
        <f>(DATA!BG50/2)+(DATA!BH50/2)</f>
        <v>11437.97060513531</v>
      </c>
      <c r="M21" s="6">
        <f>(DATA!BH50/2)+(DATA!BI50/2)</f>
        <v>11728.525947686754</v>
      </c>
      <c r="N21" s="7">
        <f t="shared" si="2"/>
        <v>123969.46364230757</v>
      </c>
    </row>
    <row r="22" spans="1:14" x14ac:dyDescent="0.25">
      <c r="A22" t="str">
        <f>IncomeStatement_Year5!A23</f>
        <v>Office Supplies</v>
      </c>
      <c r="B22" s="6">
        <f>(DATA!AW52/2)+(DATA!AX52/2)</f>
        <v>2036.0367269170169</v>
      </c>
      <c r="C22" s="6">
        <f>(DATA!AX52/2)+(DATA!AY52/2)</f>
        <v>2097.1178287245275</v>
      </c>
      <c r="D22" s="6">
        <f>(DATA!AY52/2)+(DATA!AZ52/2)</f>
        <v>2160.0313635862631</v>
      </c>
      <c r="E22" s="6">
        <f>(DATA!AZ52/2)+(DATA!BA52/2)</f>
        <v>2224.8323044938506</v>
      </c>
      <c r="F22" s="6">
        <f>(DATA!BA52/2)+(DATA!BB52/2)</f>
        <v>2291.5772736286663</v>
      </c>
      <c r="G22" s="6">
        <f>(DATA!BB52/2)+(DATA!BC52/2)</f>
        <v>2360.324591837526</v>
      </c>
      <c r="H22" s="6">
        <f>(DATA!BC52/2)+(DATA!BD52/2)</f>
        <v>2431.1343295926517</v>
      </c>
      <c r="I22" s="6">
        <f>(DATA!BD52/2)+(DATA!BE52/2)</f>
        <v>2504.0683594804314</v>
      </c>
      <c r="J22" s="6">
        <f>(DATA!BE52/2)+(DATA!BF52/2)</f>
        <v>2579.190410264845</v>
      </c>
      <c r="K22" s="6">
        <f>(DATA!BF52/2)+(DATA!BG52/2)</f>
        <v>2656.5661225727904</v>
      </c>
      <c r="L22" s="6">
        <f>(DATA!BG52/2)+(DATA!BH52/2)</f>
        <v>2736.263106249974</v>
      </c>
      <c r="M22" s="6">
        <f>(DATA!BH52/2)+(DATA!BI52/2)</f>
        <v>2818.3509994374735</v>
      </c>
      <c r="N22" s="7">
        <f t="shared" si="2"/>
        <v>28895.493416786016</v>
      </c>
    </row>
    <row r="23" spans="1:14" x14ac:dyDescent="0.25">
      <c r="A23" t="str">
        <f>IncomeStatement_Year5!A24</f>
        <v>Meals/Gifts/Entertainment</v>
      </c>
      <c r="B23" s="6">
        <f>(DATA!AW54/2)+(DATA!AX54/2)</f>
        <v>6108.1101807510513</v>
      </c>
      <c r="C23" s="6">
        <f>(DATA!AX54/2)+(DATA!AY54/2)</f>
        <v>6291.3534861735834</v>
      </c>
      <c r="D23" s="6">
        <f>(DATA!AY54/2)+(DATA!AZ54/2)</f>
        <v>6480.094090758791</v>
      </c>
      <c r="E23" s="6">
        <f>(DATA!AZ54/2)+(DATA!BA54/2)</f>
        <v>6674.4969134815547</v>
      </c>
      <c r="F23" s="6">
        <f>(DATA!BA54/2)+(DATA!BB54/2)</f>
        <v>6874.7318208860015</v>
      </c>
      <c r="G23" s="6">
        <f>(DATA!BB54/2)+(DATA!BC54/2)</f>
        <v>7080.9737755125825</v>
      </c>
      <c r="H23" s="6">
        <f>(DATA!BC54/2)+(DATA!BD54/2)</f>
        <v>7293.4029887779598</v>
      </c>
      <c r="I23" s="6">
        <f>(DATA!BD54/2)+(DATA!BE54/2)</f>
        <v>7512.2050784412986</v>
      </c>
      <c r="J23" s="6">
        <f>(DATA!BE54/2)+(DATA!BF54/2)</f>
        <v>7737.5712307945378</v>
      </c>
      <c r="K23" s="6">
        <f>(DATA!BF54/2)+(DATA!BG54/2)</f>
        <v>7969.6983677183744</v>
      </c>
      <c r="L23" s="6">
        <f>(DATA!BG54/2)+(DATA!BH54/2)</f>
        <v>8208.7893187499249</v>
      </c>
      <c r="M23" s="6">
        <f>(DATA!BH54/2)+(DATA!BI54/2)</f>
        <v>8455.0529983124234</v>
      </c>
      <c r="N23" s="7">
        <f t="shared" si="2"/>
        <v>86686.480250358101</v>
      </c>
    </row>
    <row r="24" spans="1:14" x14ac:dyDescent="0.25">
      <c r="A24" t="str">
        <f>IncomeStatement_Year5!A25</f>
        <v>Research and Development</v>
      </c>
      <c r="B24" s="6">
        <f>(DATA!AW56/2)+(DATA!AX56/2)</f>
        <v>151848.06693024898</v>
      </c>
      <c r="C24" s="6">
        <f>(DATA!AX56/2)+(DATA!AY56/2)</f>
        <v>155067.9369476008</v>
      </c>
      <c r="D24" s="6">
        <f>(DATA!AY56/2)+(DATA!AZ56/2)</f>
        <v>158413.92148654239</v>
      </c>
      <c r="E24" s="6">
        <f>(DATA!AZ56/2)+(DATA!BA56/2)</f>
        <v>161892.84340195465</v>
      </c>
      <c r="F24" s="6">
        <f>(DATA!BA56/2)+(DATA!BB56/2)</f>
        <v>165511.93286585063</v>
      </c>
      <c r="G24" s="6">
        <f>(DATA!BB56/2)+(DATA!BC56/2)</f>
        <v>169278.85238840309</v>
      </c>
      <c r="H24" s="6">
        <f>(DATA!BC56/2)+(DATA!BD56/2)</f>
        <v>173201.72339332246</v>
      </c>
      <c r="I24" s="6">
        <f>(DATA!BD56/2)+(DATA!BE56/2)</f>
        <v>177289.15444482095</v>
      </c>
      <c r="J24" s="6">
        <f>(DATA!BE56/2)+(DATA!BF56/2)</f>
        <v>181550.27122951933</v>
      </c>
      <c r="K24" s="6">
        <f>(DATA!BF56/2)+(DATA!BG56/2)</f>
        <v>185994.74840316174</v>
      </c>
      <c r="L24" s="6">
        <f>(DATA!BG56/2)+(DATA!BH56/2)</f>
        <v>190632.84341892187</v>
      </c>
      <c r="M24" s="6">
        <f>(DATA!BH56/2)+(DATA!BI56/2)</f>
        <v>195475.43246144592</v>
      </c>
      <c r="N24" s="7">
        <f t="shared" si="2"/>
        <v>2066157.7273717928</v>
      </c>
    </row>
    <row r="25" spans="1:14" x14ac:dyDescent="0.25">
      <c r="A25" t="str">
        <f>IncomeStatement_Year5!A26</f>
        <v>Salaries and Wages</v>
      </c>
      <c r="B25" s="6">
        <f>(DATA!AW58/2)+(DATA!AX58/2)</f>
        <v>112133.33333333334</v>
      </c>
      <c r="C25" s="6">
        <f>(DATA!AX58/2)+(DATA!AY58/2)</f>
        <v>112133.33333333334</v>
      </c>
      <c r="D25" s="6">
        <f>(DATA!AY58/2)+(DATA!AZ58/2)</f>
        <v>112133.33333333334</v>
      </c>
      <c r="E25" s="6">
        <f>(DATA!AZ58/2)+(DATA!BA58/2)</f>
        <v>112133.33333333334</v>
      </c>
      <c r="F25" s="6">
        <f>(DATA!BA58/2)+(DATA!BB58/2)</f>
        <v>112133.33333333334</v>
      </c>
      <c r="G25" s="6">
        <f>(DATA!BB58/2)+(DATA!BC58/2)</f>
        <v>112133.33333333334</v>
      </c>
      <c r="H25" s="6">
        <f>(DATA!BC58/2)+(DATA!BD58/2)</f>
        <v>112133.33333333334</v>
      </c>
      <c r="I25" s="6">
        <f>(DATA!BD58/2)+(DATA!BE58/2)</f>
        <v>112133.33333333334</v>
      </c>
      <c r="J25" s="6">
        <f>(DATA!BE58/2)+(DATA!BF58/2)</f>
        <v>112133.33333333334</v>
      </c>
      <c r="K25" s="6">
        <f>(DATA!BF58/2)+(DATA!BG58/2)</f>
        <v>112133.33333333334</v>
      </c>
      <c r="L25" s="6">
        <f>(DATA!BG58/2)+(DATA!BH58/2)</f>
        <v>112133.33333333334</v>
      </c>
      <c r="M25" s="6">
        <f>(DATA!BH58/2)+(DATA!BI58/2)</f>
        <v>112133.33333333334</v>
      </c>
      <c r="N25" s="7">
        <f t="shared" si="2"/>
        <v>1345600</v>
      </c>
    </row>
    <row r="26" spans="1:14" x14ac:dyDescent="0.25">
      <c r="A26" t="str">
        <f>IncomeStatement_Year5!A27</f>
        <v>Taxes and Licenses</v>
      </c>
      <c r="B26" s="6">
        <f>(DATA!AW59/2)+(DATA!AX59/2)</f>
        <v>1604.2447604662154</v>
      </c>
      <c r="C26" s="6">
        <f>(DATA!AX59/2)+(DATA!AY59/2)</f>
        <v>1620.2872080708776</v>
      </c>
      <c r="D26" s="6">
        <f>(DATA!AY59/2)+(DATA!AZ59/2)</f>
        <v>1636.4900801515864</v>
      </c>
      <c r="E26" s="6">
        <f>(DATA!AZ59/2)+(DATA!BA59/2)</f>
        <v>1652.8549809531023</v>
      </c>
      <c r="F26" s="6">
        <f>(DATA!BA59/2)+(DATA!BB59/2)</f>
        <v>1669.3835307626334</v>
      </c>
      <c r="G26" s="6">
        <f>(DATA!BB59/2)+(DATA!BC59/2)</f>
        <v>1686.0773660702598</v>
      </c>
      <c r="H26" s="6">
        <f>(DATA!BC59/2)+(DATA!BD59/2)</f>
        <v>1702.9381397309621</v>
      </c>
      <c r="I26" s="6">
        <f>(DATA!BD59/2)+(DATA!BE59/2)</f>
        <v>1719.967521128272</v>
      </c>
      <c r="J26" s="6">
        <f>(DATA!BE59/2)+(DATA!BF59/2)</f>
        <v>1737.1671963395547</v>
      </c>
      <c r="K26" s="6">
        <f>(DATA!BF59/2)+(DATA!BG59/2)</f>
        <v>1754.53886830295</v>
      </c>
      <c r="L26" s="6">
        <f>(DATA!BG59/2)+(DATA!BH59/2)</f>
        <v>1772.0842569859797</v>
      </c>
      <c r="M26" s="6">
        <f>(DATA!BH59/2)+(DATA!BI59/2)</f>
        <v>1789.8050995558394</v>
      </c>
      <c r="N26" s="7">
        <f t="shared" si="2"/>
        <v>20345.839008518236</v>
      </c>
    </row>
    <row r="27" spans="1:14" x14ac:dyDescent="0.25">
      <c r="A27" t="str">
        <f>IncomeStatement_Year5!A28</f>
        <v>Telephone &amp; Internet</v>
      </c>
      <c r="B27" s="6">
        <f>(DATA!AW61/2)+(DATA!AX61/2)</f>
        <v>802.12238023310772</v>
      </c>
      <c r="C27" s="6">
        <f>(DATA!AX61/2)+(DATA!AY61/2)</f>
        <v>810.14360403543878</v>
      </c>
      <c r="D27" s="6">
        <f>(DATA!AY61/2)+(DATA!AZ61/2)</f>
        <v>818.24504007579321</v>
      </c>
      <c r="E27" s="6">
        <f>(DATA!AZ61/2)+(DATA!BA61/2)</f>
        <v>826.42749047655116</v>
      </c>
      <c r="F27" s="6">
        <f>(DATA!BA61/2)+(DATA!BB61/2)</f>
        <v>834.69176538131671</v>
      </c>
      <c r="G27" s="6">
        <f>(DATA!BB61/2)+(DATA!BC61/2)</f>
        <v>843.03868303512991</v>
      </c>
      <c r="H27" s="6">
        <f>(DATA!BC61/2)+(DATA!BD61/2)</f>
        <v>851.46906986548106</v>
      </c>
      <c r="I27" s="6">
        <f>(DATA!BD61/2)+(DATA!BE61/2)</f>
        <v>859.98376056413599</v>
      </c>
      <c r="J27" s="6">
        <f>(DATA!BE61/2)+(DATA!BF61/2)</f>
        <v>868.58359816977736</v>
      </c>
      <c r="K27" s="6">
        <f>(DATA!BF61/2)+(DATA!BG61/2)</f>
        <v>877.26943415147502</v>
      </c>
      <c r="L27" s="6">
        <f>(DATA!BG61/2)+(DATA!BH61/2)</f>
        <v>886.04212849298983</v>
      </c>
      <c r="M27" s="6">
        <f>(DATA!BH61/2)+(DATA!BI61/2)</f>
        <v>894.90254977791972</v>
      </c>
      <c r="N27" s="7">
        <f t="shared" si="2"/>
        <v>10172.919504259118</v>
      </c>
    </row>
    <row r="28" spans="1:14" x14ac:dyDescent="0.25">
      <c r="A28" t="s">
        <v>72</v>
      </c>
      <c r="B28" s="6">
        <f>LoanModule!D57</f>
        <v>3106.4918313432186</v>
      </c>
      <c r="C28" s="6">
        <f>LoanModule!D58</f>
        <v>3086.7592454337214</v>
      </c>
      <c r="D28" s="6">
        <f>LoanModule!D59</f>
        <v>3066.8951089514935</v>
      </c>
      <c r="E28" s="6">
        <f>LoanModule!D60</f>
        <v>3046.8985448927178</v>
      </c>
      <c r="F28" s="6">
        <f>LoanModule!D61</f>
        <v>3026.7686704068838</v>
      </c>
      <c r="G28" s="6">
        <f>LoanModule!D62</f>
        <v>3006.5045967578103</v>
      </c>
      <c r="H28" s="6">
        <f>LoanModule!D63</f>
        <v>2986.1054292844096</v>
      </c>
      <c r="I28" s="6">
        <f>LoanModule!D64</f>
        <v>2965.5702673611872</v>
      </c>
      <c r="J28" s="6">
        <f>LoanModule!D65</f>
        <v>2944.8982043584765</v>
      </c>
      <c r="K28" s="6">
        <f>LoanModule!D66</f>
        <v>2924.0883276024142</v>
      </c>
      <c r="L28" s="6">
        <f>LoanModule!D67</f>
        <v>2903.1397183346439</v>
      </c>
      <c r="M28" s="6">
        <f>LoanModule!D68</f>
        <v>2882.0514516717558</v>
      </c>
      <c r="N28" s="7">
        <f t="shared" si="2"/>
        <v>35946.171396398728</v>
      </c>
    </row>
    <row r="29" spans="1:14" x14ac:dyDescent="0.25">
      <c r="A29" t="s">
        <v>89</v>
      </c>
      <c r="B29" s="6">
        <f>LoanModule!E57</f>
        <v>2959.8878864246276</v>
      </c>
      <c r="C29" s="6">
        <f>LoanModule!E58</f>
        <v>2979.6204723341248</v>
      </c>
      <c r="D29" s="6">
        <f>LoanModule!E59</f>
        <v>2999.4846088163526</v>
      </c>
      <c r="E29" s="6">
        <f>LoanModule!E60</f>
        <v>3019.4811728751283</v>
      </c>
      <c r="F29" s="6">
        <f>LoanModule!E61</f>
        <v>3039.6110473609624</v>
      </c>
      <c r="G29" s="6">
        <f>LoanModule!E62</f>
        <v>3059.8751210100359</v>
      </c>
      <c r="H29" s="6">
        <f>LoanModule!E63</f>
        <v>3080.2742884834365</v>
      </c>
      <c r="I29" s="6">
        <f>LoanModule!E64</f>
        <v>3100.8094504066589</v>
      </c>
      <c r="J29" s="6">
        <f>LoanModule!E65</f>
        <v>3121.4815134093697</v>
      </c>
      <c r="K29" s="6">
        <f>LoanModule!E66</f>
        <v>3142.2913901654319</v>
      </c>
      <c r="L29" s="6">
        <f>LoanModule!E67</f>
        <v>3163.2399994332022</v>
      </c>
      <c r="M29" s="6">
        <f>LoanModule!E68</f>
        <v>3184.3282660960904</v>
      </c>
      <c r="N29" s="7">
        <f t="shared" si="2"/>
        <v>36850.385216815419</v>
      </c>
    </row>
    <row r="30" spans="1:14" x14ac:dyDescent="0.25">
      <c r="A30" t="s">
        <v>18</v>
      </c>
      <c r="B30" s="6">
        <f>DATA!AX40</f>
        <v>0</v>
      </c>
      <c r="C30" s="6">
        <f>DATA!AY40</f>
        <v>0</v>
      </c>
      <c r="D30" s="6">
        <f>DATA!AZ40</f>
        <v>0</v>
      </c>
      <c r="E30" s="6">
        <f>DATA!BA40</f>
        <v>0</v>
      </c>
      <c r="F30" s="6">
        <f>DATA!BB40</f>
        <v>0</v>
      </c>
      <c r="G30" s="6">
        <f>DATA!BC40</f>
        <v>0</v>
      </c>
      <c r="H30" s="6">
        <f>DATA!BD40</f>
        <v>0</v>
      </c>
      <c r="I30" s="6">
        <f>DATA!BE40</f>
        <v>0</v>
      </c>
      <c r="J30" s="6">
        <f>DATA!BF40</f>
        <v>0</v>
      </c>
      <c r="K30" s="6">
        <f>DATA!BG40</f>
        <v>0</v>
      </c>
      <c r="L30" s="6">
        <f>DATA!BH40</f>
        <v>0</v>
      </c>
      <c r="M30" s="6">
        <f>DATA!BI40</f>
        <v>0</v>
      </c>
      <c r="N30" s="7">
        <f t="shared" si="2"/>
        <v>0</v>
      </c>
    </row>
    <row r="31" spans="1:14" x14ac:dyDescent="0.25">
      <c r="A31" t="s">
        <v>90</v>
      </c>
      <c r="B31" s="6">
        <f>IF(DATA!E19=B5,DATA!B19,0)+IF(DATA!E22=B5,DATA!B22,0)</f>
        <v>0</v>
      </c>
      <c r="C31" s="6">
        <f>IF(DATA!E19=C5,DATA!B19,0)+IF(DATA!E22=C5,DATA!B22,0)</f>
        <v>0</v>
      </c>
      <c r="D31" s="6">
        <f>IF(DATA!E19=D5,DATA!B19,0)+IF(DATA!E22=D5,DATA!B22,0)</f>
        <v>0</v>
      </c>
      <c r="E31" s="6">
        <f>IF(DATA!E19=E5,DATA!B19,0)+IF(DATA!E22=E5,DATA!B22,0)</f>
        <v>0</v>
      </c>
      <c r="F31" s="6">
        <f>IF(DATA!E19=F5,DATA!B19,0)+IF(DATA!E22=F5,DATA!B22,0)</f>
        <v>0</v>
      </c>
      <c r="G31" s="6">
        <f>IF(DATA!E19=G5,DATA!B19,0)+IF(DATA!E22=G5,DATA!B22,0)</f>
        <v>0</v>
      </c>
      <c r="H31" s="6">
        <f>IF(DATA!E19=H5,DATA!B19,0)+IF(DATA!E22=H5,DATA!B22,0)</f>
        <v>0</v>
      </c>
      <c r="I31" s="6">
        <f>IF(DATA!E19=I5,DATA!B19,0)+IF(DATA!E22=I5,DATA!B22,0)</f>
        <v>0</v>
      </c>
      <c r="J31" s="6">
        <f>IF(DATA!E19=J5,DATA!B19,0)+IF(DATA!E22=J5,DATA!B22,0)</f>
        <v>0</v>
      </c>
      <c r="K31" s="6">
        <f>IF(DATA!E19=K5,DATA!B19,0)+IF(DATA!E22=K5,DATA!B22,0)</f>
        <v>0</v>
      </c>
      <c r="L31" s="6">
        <f>IF(DATA!E19=L5,DATA!B19,0)+IF(DATA!E22=L5,DATA!B22,0)</f>
        <v>0</v>
      </c>
      <c r="M31" s="6">
        <f>IF(DATA!E19=M5,DATA!B19,0)+IF(DATA!E22=M5,DATA!B22,0)</f>
        <v>0</v>
      </c>
      <c r="N31" s="7">
        <f t="shared" si="2"/>
        <v>0</v>
      </c>
    </row>
    <row r="32" spans="1:14" x14ac:dyDescent="0.25">
      <c r="A32" t="s">
        <v>91</v>
      </c>
      <c r="B32" s="6">
        <f>((DATA!$B$74*DATA!AW79)/2)+((DATA!$B$74*DATA!AX79)/2)</f>
        <v>0</v>
      </c>
      <c r="C32" s="6">
        <f>((DATA!$B$74*DATA!AX79)/2)+((DATA!$B$74*DATA!AY79)/2)</f>
        <v>0</v>
      </c>
      <c r="D32" s="6">
        <f>((DATA!$B$74*DATA!AY79)/2)+((DATA!$B$74*DATA!AZ79)/2)</f>
        <v>0</v>
      </c>
      <c r="E32" s="6">
        <f>((DATA!$B$74*DATA!AZ79)/2)+((DATA!$B$74*DATA!BA79)/2)</f>
        <v>0</v>
      </c>
      <c r="F32" s="6">
        <f>((DATA!$B$74*DATA!BA79)/2)+((DATA!$B$74*DATA!BB79)/2)</f>
        <v>0</v>
      </c>
      <c r="G32" s="6">
        <f>((DATA!$B$74*DATA!BB79)/2)+((DATA!$B$74*DATA!BC79)/2)</f>
        <v>0</v>
      </c>
      <c r="H32" s="6">
        <f>((DATA!$B$74*DATA!BC79)/2)+((DATA!$B$74*DATA!BD79)/2)</f>
        <v>0</v>
      </c>
      <c r="I32" s="6">
        <f>((DATA!$B$74*DATA!BD79)/2)+((DATA!$B$74*DATA!BE79)/2)</f>
        <v>0</v>
      </c>
      <c r="J32" s="6">
        <f>((DATA!$B$74*DATA!BE79)/2)+((DATA!$B$74*DATA!BF79)/2)</f>
        <v>0</v>
      </c>
      <c r="K32" s="6">
        <f>((DATA!$B$74*DATA!BF79)/2)+((DATA!$B$74*DATA!BG79)/2)</f>
        <v>0</v>
      </c>
      <c r="L32" s="6">
        <f>((DATA!$B$74*DATA!BG79)/2)+((DATA!$B$74*DATA!BH79)/2)</f>
        <v>0</v>
      </c>
      <c r="M32" s="6">
        <f>((DATA!$B$74*DATA!BH79)/2)+((DATA!$B$74*DATA!BI79)/2)</f>
        <v>0</v>
      </c>
      <c r="N32" s="7">
        <f t="shared" si="2"/>
        <v>0</v>
      </c>
    </row>
    <row r="33" spans="1:14" x14ac:dyDescent="0.25">
      <c r="A33" t="s">
        <v>77</v>
      </c>
      <c r="B33" s="6">
        <f>IncomeStatement_Year5!B36</f>
        <v>75777.208665926257</v>
      </c>
      <c r="C33" s="6">
        <f>IncomeStatement_Year5!C36</f>
        <v>75777.208665926257</v>
      </c>
      <c r="D33" s="6">
        <f>IncomeStatement_Year5!D36</f>
        <v>75777.208665926257</v>
      </c>
      <c r="E33" s="6">
        <f>IncomeStatement_Year5!E36</f>
        <v>75777.208665926257</v>
      </c>
      <c r="F33" s="6">
        <f>IncomeStatement_Year5!F36</f>
        <v>75777.208665926257</v>
      </c>
      <c r="G33" s="6">
        <f>IncomeStatement_Year5!G36</f>
        <v>75777.208665926257</v>
      </c>
      <c r="H33" s="6">
        <f>IncomeStatement_Year5!H36</f>
        <v>75777.208665926257</v>
      </c>
      <c r="I33" s="6">
        <f>IncomeStatement_Year5!I36</f>
        <v>75777.208665926257</v>
      </c>
      <c r="J33" s="6">
        <f>IncomeStatement_Year5!J36</f>
        <v>75777.208665926257</v>
      </c>
      <c r="K33" s="6">
        <f>IncomeStatement_Year5!K36</f>
        <v>75777.208665926257</v>
      </c>
      <c r="L33" s="6">
        <f>IncomeStatement_Year5!L36</f>
        <v>75777.208665926257</v>
      </c>
      <c r="M33" s="6">
        <f>IncomeStatement_Year5!M36</f>
        <v>75777.208665926257</v>
      </c>
      <c r="N33" s="7">
        <f t="shared" si="2"/>
        <v>909326.50399111502</v>
      </c>
    </row>
    <row r="34" spans="1:14" x14ac:dyDescent="0.25">
      <c r="A34" t="s">
        <v>92</v>
      </c>
      <c r="B34" s="6">
        <f>'Inventory Module'!AW26-'Inventory Module'!AX26</f>
        <v>639239.73713508144</v>
      </c>
      <c r="C34" s="6">
        <f>'Inventory Module'!AX26-'Inventory Module'!AY26</f>
        <v>-320709.90097960562</v>
      </c>
      <c r="D34" s="6">
        <f>'Inventory Module'!AY26-'Inventory Module'!AZ26</f>
        <v>-313360.24810103921</v>
      </c>
      <c r="E34" s="6">
        <f>'Inventory Module'!AZ26-'Inventory Module'!BA26</f>
        <v>667024.07748155424</v>
      </c>
      <c r="F34" s="6">
        <f>'Inventory Module'!BA26-'Inventory Module'!BB26</f>
        <v>-283804.61474051577</v>
      </c>
      <c r="G34" s="6">
        <f>'Inventory Module'!BB26-'Inventory Module'!BC26</f>
        <v>-261443.28400805456</v>
      </c>
      <c r="H34" s="6">
        <f>'Inventory Module'!BC26-'Inventory Module'!BD26</f>
        <v>-251766.97272737941</v>
      </c>
      <c r="I34" s="6">
        <f>'Inventory Module'!BD26-'Inventory Module'!BE26</f>
        <v>724315.39172286773</v>
      </c>
      <c r="J34" s="6">
        <f>'Inventory Module'!BE26-'Inventory Module'!BF26</f>
        <v>-210360.29311892355</v>
      </c>
      <c r="K34" s="6">
        <f>'Inventory Module'!BF26-'Inventory Module'!BG26</f>
        <v>-198576.88385197837</v>
      </c>
      <c r="L34" s="6">
        <f>'Inventory Module'!BG26-'Inventory Module'!BH26</f>
        <v>-179300.17394863791</v>
      </c>
      <c r="M34" s="6">
        <f>'Inventory Module'!BH26-'Inventory Module'!BI26</f>
        <v>806470.64975247742</v>
      </c>
      <c r="N34" s="7">
        <f t="shared" si="2"/>
        <v>817727.48461584642</v>
      </c>
    </row>
    <row r="35" spans="1:14" x14ac:dyDescent="0.25">
      <c r="A35" s="4" t="s">
        <v>93</v>
      </c>
      <c r="B35" s="9">
        <f t="shared" ref="B35:M35" si="3">SUM(B15:B33)-B34</f>
        <v>537018.78790396231</v>
      </c>
      <c r="C35" s="9">
        <f t="shared" si="3"/>
        <v>1516836.6048014462</v>
      </c>
      <c r="D35" s="9">
        <f t="shared" si="3"/>
        <v>1530116.9647377837</v>
      </c>
      <c r="E35" s="9">
        <f t="shared" si="3"/>
        <v>571165.05806243035</v>
      </c>
      <c r="F35" s="9">
        <f t="shared" si="3"/>
        <v>1544271.5255075856</v>
      </c>
      <c r="G35" s="9">
        <f t="shared" si="3"/>
        <v>1545078.7978389482</v>
      </c>
      <c r="H35" s="9">
        <f t="shared" si="3"/>
        <v>1559510.062126006</v>
      </c>
      <c r="I35" s="9">
        <f t="shared" si="3"/>
        <v>608525.22461606609</v>
      </c>
      <c r="J35" s="9">
        <f t="shared" si="3"/>
        <v>1569342.3717066511</v>
      </c>
      <c r="K35" s="9">
        <f t="shared" si="3"/>
        <v>1584801.5302552502</v>
      </c>
      <c r="L35" s="9">
        <f t="shared" si="3"/>
        <v>1593929.0425989043</v>
      </c>
      <c r="M35" s="9">
        <f t="shared" si="3"/>
        <v>637788.22703509755</v>
      </c>
      <c r="N35" s="9">
        <f t="shared" si="2"/>
        <v>14798384.197190132</v>
      </c>
    </row>
    <row r="37" spans="1:14" x14ac:dyDescent="0.25">
      <c r="A37" s="4" t="s">
        <v>94</v>
      </c>
      <c r="B37" s="10">
        <f t="shared" ref="B37:M37" si="4">B12-B35</f>
        <v>997254.22676027461</v>
      </c>
      <c r="C37" s="10">
        <f t="shared" si="4"/>
        <v>50249.119486332871</v>
      </c>
      <c r="D37" s="10">
        <f t="shared" si="4"/>
        <v>71075.740705284989</v>
      </c>
      <c r="E37" s="10">
        <f t="shared" si="4"/>
        <v>1065499.1045335941</v>
      </c>
      <c r="F37" s="10">
        <f t="shared" si="4"/>
        <v>129302.96921340213</v>
      </c>
      <c r="G37" s="10">
        <f t="shared" si="4"/>
        <v>166923.75520812534</v>
      </c>
      <c r="H37" s="10">
        <f t="shared" si="4"/>
        <v>192521.85269336961</v>
      </c>
      <c r="I37" s="10">
        <f t="shared" si="4"/>
        <v>1185225.9494609768</v>
      </c>
      <c r="J37" s="10">
        <f t="shared" si="4"/>
        <v>267911.87880669278</v>
      </c>
      <c r="K37" s="10">
        <f t="shared" si="4"/>
        <v>297839.18729464035</v>
      </c>
      <c r="L37" s="10">
        <f t="shared" si="4"/>
        <v>336087.10822964204</v>
      </c>
      <c r="M37" s="10">
        <f t="shared" si="4"/>
        <v>1341704.271365274</v>
      </c>
      <c r="N37" s="10">
        <f>SUM(B37:M37)</f>
        <v>6101595.1637576092</v>
      </c>
    </row>
    <row r="39" spans="1:14" x14ac:dyDescent="0.25">
      <c r="A39" s="4" t="s">
        <v>95</v>
      </c>
      <c r="B39" s="7">
        <f>B37</f>
        <v>997254.22676027461</v>
      </c>
      <c r="C39" s="7">
        <f t="shared" ref="C39:M39" si="5">B39+C37</f>
        <v>1047503.3462466075</v>
      </c>
      <c r="D39" s="7">
        <f t="shared" si="5"/>
        <v>1118579.0869518924</v>
      </c>
      <c r="E39" s="7">
        <f t="shared" si="5"/>
        <v>2184078.1914854865</v>
      </c>
      <c r="F39" s="7">
        <f t="shared" si="5"/>
        <v>2313381.1606988888</v>
      </c>
      <c r="G39" s="7">
        <f t="shared" si="5"/>
        <v>2480304.9159070142</v>
      </c>
      <c r="H39" s="7">
        <f t="shared" si="5"/>
        <v>2672826.7686003838</v>
      </c>
      <c r="I39" s="7">
        <f t="shared" si="5"/>
        <v>3858052.7180613605</v>
      </c>
      <c r="J39" s="7">
        <f t="shared" si="5"/>
        <v>4125964.5968680531</v>
      </c>
      <c r="K39" s="7">
        <f t="shared" si="5"/>
        <v>4423803.7841626937</v>
      </c>
      <c r="L39" s="7">
        <f t="shared" si="5"/>
        <v>4759890.8923923355</v>
      </c>
      <c r="M39" s="7">
        <f t="shared" si="5"/>
        <v>6101595.1637576092</v>
      </c>
      <c r="N39" s="7">
        <f>M39</f>
        <v>6101595.1637576092</v>
      </c>
    </row>
    <row r="44" spans="1:14" x14ac:dyDescent="0.25">
      <c r="A44" t="s">
        <v>79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4" workbookViewId="0">
      <selection activeCell="F24" sqref="F24"/>
    </sheetView>
  </sheetViews>
  <sheetFormatPr defaultColWidth="8.85546875" defaultRowHeight="15" x14ac:dyDescent="0.25"/>
  <cols>
    <col min="1" max="1" width="34.140625" bestFit="1" customWidth="1"/>
    <col min="2" max="14" width="11.7109375" bestFit="1" customWidth="1"/>
  </cols>
  <sheetData>
    <row r="1" spans="1:14" x14ac:dyDescent="0.25">
      <c r="A1" t="str">
        <f>DATA!B1</f>
        <v>Example Manufacturing Company</v>
      </c>
    </row>
    <row r="2" spans="1:14" x14ac:dyDescent="0.25">
      <c r="A2" t="s">
        <v>96</v>
      </c>
    </row>
    <row r="3" spans="1:14" x14ac:dyDescent="0.25">
      <c r="A3" t="s">
        <v>64</v>
      </c>
    </row>
    <row r="5" spans="1:14" x14ac:dyDescent="0.25">
      <c r="A5" t="s">
        <v>97</v>
      </c>
      <c r="B5" s="13">
        <v>0</v>
      </c>
      <c r="C5">
        <v>1</v>
      </c>
      <c r="D5">
        <v>2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11</v>
      </c>
      <c r="N5">
        <v>12</v>
      </c>
    </row>
    <row r="6" spans="1:14" x14ac:dyDescent="0.25">
      <c r="B6" s="13"/>
    </row>
    <row r="7" spans="1:14" x14ac:dyDescent="0.25">
      <c r="A7" t="s">
        <v>98</v>
      </c>
      <c r="B7" s="13"/>
    </row>
    <row r="8" spans="1:14" x14ac:dyDescent="0.25">
      <c r="A8" t="s">
        <v>99</v>
      </c>
      <c r="B8" s="13"/>
    </row>
    <row r="9" spans="1:14" x14ac:dyDescent="0.25">
      <c r="A9" t="s">
        <v>100</v>
      </c>
      <c r="B9" s="12">
        <f>StartupCosts!B2</f>
        <v>90000</v>
      </c>
      <c r="C9" s="12">
        <f>CashFlowStatement_Year1!C7+CashFlowStatement_Year1!C38</f>
        <v>3335502.7611341868</v>
      </c>
      <c r="D9" s="12">
        <f>CashFlowStatement_Year1!D7+CashFlowStatement_Year1!D38</f>
        <v>3242268.4975183732</v>
      </c>
      <c r="E9" s="12">
        <f>CashFlowStatement_Year1!E7+CashFlowStatement_Year1!E38</f>
        <v>3131708.1598035353</v>
      </c>
      <c r="F9" s="12">
        <f>CashFlowStatement_Year1!F7+CashFlowStatement_Year1!F38</f>
        <v>3827571.6397309662</v>
      </c>
      <c r="G9" s="12">
        <f>CashFlowStatement_Year1!G7+CashFlowStatement_Year1!G38</f>
        <v>4273466.9725487055</v>
      </c>
      <c r="H9" s="12">
        <f>CashFlowStatement_Year1!H7+CashFlowStatement_Year1!H38</f>
        <v>3749889.8067625542</v>
      </c>
      <c r="I9" s="12">
        <f>CashFlowStatement_Year1!I7+CashFlowStatement_Year1!I38</f>
        <v>4211618.7964268932</v>
      </c>
      <c r="J9" s="12">
        <f>CashFlowStatement_Year1!J7+CashFlowStatement_Year1!J38</f>
        <v>4678847.1018039417</v>
      </c>
      <c r="K9" s="12">
        <f>CashFlowStatement_Year1!K7+CashFlowStatement_Year1!K38</f>
        <v>4177182.7053734791</v>
      </c>
      <c r="L9" s="12">
        <f>CashFlowStatement_Year1!L7+CashFlowStatement_Year1!L38</f>
        <v>4666832.0800073585</v>
      </c>
      <c r="M9" s="12">
        <f>CashFlowStatement_Year1!M7+CashFlowStatement_Year1!M38</f>
        <v>5168008.8771415176</v>
      </c>
      <c r="N9" s="12">
        <f>CashFlowStatement_Year1!N7+CashFlowStatement_Year1!N38</f>
        <v>4700934.3028510548</v>
      </c>
    </row>
    <row r="10" spans="1:14" x14ac:dyDescent="0.25">
      <c r="A10" t="s">
        <v>101</v>
      </c>
      <c r="B10" s="12">
        <f>0</f>
        <v>0</v>
      </c>
      <c r="C10" s="12">
        <f>IncomeStatement_Year1!B8-CashFlowStatement_Year1!C10</f>
        <v>0</v>
      </c>
      <c r="D10" s="12">
        <f>IncomeStatement_Year1!C8-CashFlowStatement_Year1!D10+C10</f>
        <v>0</v>
      </c>
      <c r="E10" s="12">
        <f>IncomeStatement_Year1!D8-CashFlowStatement_Year1!E10+D10</f>
        <v>0</v>
      </c>
      <c r="F10" s="12">
        <f>IncomeStatement_Year1!E8-CashFlowStatement_Year1!F10+E10</f>
        <v>0</v>
      </c>
      <c r="G10" s="12">
        <f>IncomeStatement_Year1!F8-CashFlowStatement_Year1!G10+F10</f>
        <v>0</v>
      </c>
      <c r="H10" s="12">
        <f>IncomeStatement_Year1!G8-CashFlowStatement_Year1!H10+G10</f>
        <v>0</v>
      </c>
      <c r="I10" s="12">
        <f>IncomeStatement_Year1!H8-CashFlowStatement_Year1!I10+H10</f>
        <v>0</v>
      </c>
      <c r="J10" s="12">
        <f>IncomeStatement_Year1!I8-CashFlowStatement_Year1!J10+I10</f>
        <v>0</v>
      </c>
      <c r="K10" s="12">
        <f>IncomeStatement_Year1!J8-CashFlowStatement_Year1!K10+J10</f>
        <v>0</v>
      </c>
      <c r="L10" s="12">
        <f>IncomeStatement_Year1!K8-CashFlowStatement_Year1!L10+K10</f>
        <v>0</v>
      </c>
      <c r="M10" s="12">
        <f>IncomeStatement_Year1!L8-CashFlowStatement_Year1!M10+L10</f>
        <v>0</v>
      </c>
      <c r="N10" s="12">
        <f>IncomeStatement_Year1!M8-CashFlowStatement_Year1!N10+M10</f>
        <v>0</v>
      </c>
    </row>
    <row r="11" spans="1:14" x14ac:dyDescent="0.25">
      <c r="A11" t="s">
        <v>102</v>
      </c>
      <c r="B11" s="12">
        <f>0</f>
        <v>0</v>
      </c>
      <c r="C11" s="12">
        <f>'Inventory Module'!B26</f>
        <v>1004750</v>
      </c>
      <c r="D11" s="12">
        <f>'Inventory Module'!C26</f>
        <v>1004799.5247500001</v>
      </c>
      <c r="E11" s="12">
        <f>'Inventory Module'!D26</f>
        <v>1004849.1485990247</v>
      </c>
      <c r="F11" s="12">
        <f>'Inventory Module'!E26</f>
        <v>681543.83301064675</v>
      </c>
      <c r="G11" s="12">
        <f>'Inventory Module'!F26</f>
        <v>354184.06362124649</v>
      </c>
      <c r="H11" s="12">
        <f>'Inventory Module'!G26</f>
        <v>1002695.9062452044</v>
      </c>
      <c r="I11" s="12">
        <f>'Inventory Module'!H26</f>
        <v>667002.95872005739</v>
      </c>
      <c r="J11" s="12">
        <f>'Inventory Module'!I26</f>
        <v>327026.22735196864</v>
      </c>
      <c r="K11" s="12">
        <f>'Inventory Module'!J26</f>
        <v>962683.99625641119</v>
      </c>
      <c r="L11" s="12">
        <f>'Inventory Module'!K26</f>
        <v>613891.68916997919</v>
      </c>
      <c r="M11" s="12">
        <f>'Inventory Module'!L26</f>
        <v>260561.72328366587</v>
      </c>
      <c r="N11" s="12">
        <f>'Inventory Module'!M26</f>
        <v>882603.35462082806</v>
      </c>
    </row>
    <row r="12" spans="1:14" x14ac:dyDescent="0.25">
      <c r="A12" s="4" t="s">
        <v>103</v>
      </c>
      <c r="B12" s="14">
        <f t="shared" ref="B12:N12" si="0">SUM(B9:B11)</f>
        <v>90000</v>
      </c>
      <c r="C12" s="14">
        <f t="shared" si="0"/>
        <v>4340252.7611341868</v>
      </c>
      <c r="D12" s="14">
        <f t="shared" si="0"/>
        <v>4247068.0222683735</v>
      </c>
      <c r="E12" s="14">
        <f t="shared" si="0"/>
        <v>4136557.3084025602</v>
      </c>
      <c r="F12" s="14">
        <f t="shared" si="0"/>
        <v>4509115.4727416132</v>
      </c>
      <c r="G12" s="14">
        <f t="shared" si="0"/>
        <v>4627651.0361699518</v>
      </c>
      <c r="H12" s="14">
        <f t="shared" si="0"/>
        <v>4752585.7130077584</v>
      </c>
      <c r="I12" s="14">
        <f t="shared" si="0"/>
        <v>4878621.7551469505</v>
      </c>
      <c r="J12" s="14">
        <f t="shared" si="0"/>
        <v>5005873.3291559108</v>
      </c>
      <c r="K12" s="14">
        <f t="shared" si="0"/>
        <v>5139866.7016298901</v>
      </c>
      <c r="L12" s="14">
        <f t="shared" si="0"/>
        <v>5280723.7691773381</v>
      </c>
      <c r="M12" s="14">
        <f t="shared" si="0"/>
        <v>5428570.6004251838</v>
      </c>
      <c r="N12" s="14">
        <f t="shared" si="0"/>
        <v>5583537.6574718831</v>
      </c>
    </row>
    <row r="13" spans="1:14" x14ac:dyDescent="0.25">
      <c r="B13" s="13"/>
    </row>
    <row r="14" spans="1:14" x14ac:dyDescent="0.25">
      <c r="A14" t="s">
        <v>104</v>
      </c>
      <c r="B14" s="13"/>
    </row>
    <row r="15" spans="1:14" x14ac:dyDescent="0.25">
      <c r="A15" t="s">
        <v>10</v>
      </c>
      <c r="B15" s="12">
        <f>IF(B5=DATA!E19,DATA!B19,0)</f>
        <v>0</v>
      </c>
      <c r="C15" s="12">
        <f>IF(C5=DATA!E19,DATA!B19,0)+B15</f>
        <v>200000</v>
      </c>
      <c r="D15" s="12">
        <f>IF(D5=DATA!E19,DATA!B19,0)+C15</f>
        <v>200000</v>
      </c>
      <c r="E15" s="12">
        <f>IF(E5=DATA!E19,DATA!B19,0)+D15</f>
        <v>200000</v>
      </c>
      <c r="F15" s="12">
        <f>IF(F5=DATA!E19,DATA!B19,0)+E15</f>
        <v>200000</v>
      </c>
      <c r="G15" s="12">
        <f>IF(G5=DATA!E19,DATA!B19,0)+F15</f>
        <v>200000</v>
      </c>
      <c r="H15" s="12">
        <f>IF(H5=DATA!E19,DATA!B19,0)+G15</f>
        <v>200000</v>
      </c>
      <c r="I15" s="12">
        <f>IF(I5=DATA!E19,DATA!B19,0)+H15</f>
        <v>200000</v>
      </c>
      <c r="J15" s="12">
        <f>IF(J5=DATA!E19,DATA!B19,0)+I15</f>
        <v>200000</v>
      </c>
      <c r="K15" s="12">
        <f>IF(K5=DATA!E19,DATA!B19,0)+J15</f>
        <v>200000</v>
      </c>
      <c r="L15" s="12">
        <f>IF(L5=DATA!E19,DATA!B19,0)+K15</f>
        <v>200000</v>
      </c>
      <c r="M15" s="12">
        <f>IF(M5=DATA!E19,DATA!B19,0)+L15</f>
        <v>200000</v>
      </c>
      <c r="N15" s="12">
        <f>IF(N5=DATA!E19,DATA!B19,0)+M15</f>
        <v>200000</v>
      </c>
    </row>
    <row r="16" spans="1:14" x14ac:dyDescent="0.25">
      <c r="A16" t="s">
        <v>15</v>
      </c>
      <c r="B16" s="12">
        <f>IF(B5=DATA!E22,DATA!B22,0)</f>
        <v>10000</v>
      </c>
      <c r="C16" s="12">
        <f>IF(C5=DATA!E22,DATA!B22,0)+B16</f>
        <v>10000</v>
      </c>
      <c r="D16" s="12">
        <f>IF(D5=DATA!E22,DATA!B22,0)+C16</f>
        <v>10000</v>
      </c>
      <c r="E16" s="12">
        <f>IF(E5=DATA!E22,DATA!B22,0)+D16</f>
        <v>10000</v>
      </c>
      <c r="F16" s="12">
        <f>IF(F5=DATA!E22,DATA!B22,0)+E16</f>
        <v>10000</v>
      </c>
      <c r="G16" s="12">
        <f>IF(G5=DATA!E22,DATA!B22,0)+F16</f>
        <v>10000</v>
      </c>
      <c r="H16" s="12">
        <f>IF(H5=DATA!E22,DATA!B22,0)+G16</f>
        <v>10000</v>
      </c>
      <c r="I16" s="12">
        <f>IF(I5=DATA!E22,DATA!B22,0)+H16</f>
        <v>10000</v>
      </c>
      <c r="J16" s="12">
        <f>IF(J5=DATA!E22,DATA!B22,0)+I16</f>
        <v>10000</v>
      </c>
      <c r="K16" s="12">
        <f>IF(K5=DATA!E22,DATA!B22,0)+J16</f>
        <v>10000</v>
      </c>
      <c r="L16" s="12">
        <f>IF(L5=DATA!E22,DATA!B22,0)+K16</f>
        <v>10000</v>
      </c>
      <c r="M16" s="12">
        <f>IF(M5=DATA!E22,DATA!B22,0)+L16</f>
        <v>10000</v>
      </c>
      <c r="N16" s="12">
        <f>IF(N5=DATA!E22,DATA!B22,0)+M16</f>
        <v>10000</v>
      </c>
    </row>
    <row r="17" spans="1:14" x14ac:dyDescent="0.25">
      <c r="A17" t="s">
        <v>105</v>
      </c>
      <c r="B17" s="12">
        <f>0</f>
        <v>0</v>
      </c>
      <c r="C17" s="12">
        <f>-(IncomeStatement_Year1!B31-B17)</f>
        <v>-1994.0476190476188</v>
      </c>
      <c r="D17" s="12">
        <f>-(IncomeStatement_Year1!C31-C17)</f>
        <v>-3988.0952380952376</v>
      </c>
      <c r="E17" s="12">
        <f>-(IncomeStatement_Year1!D31-D17)</f>
        <v>-5982.1428571428569</v>
      </c>
      <c r="F17" s="12">
        <f>-(IncomeStatement_Year1!E31-E17)</f>
        <v>-7976.1904761904752</v>
      </c>
      <c r="G17" s="12">
        <f>-(IncomeStatement_Year1!F31-F17)</f>
        <v>-9970.2380952380936</v>
      </c>
      <c r="H17" s="12">
        <f>-(IncomeStatement_Year1!G31-G17)</f>
        <v>-11964.285714285712</v>
      </c>
      <c r="I17" s="12">
        <f>-(IncomeStatement_Year1!H31-H17)</f>
        <v>-13958.33333333333</v>
      </c>
      <c r="J17" s="12">
        <f>-(IncomeStatement_Year1!I31-I17)</f>
        <v>-15952.380952380949</v>
      </c>
      <c r="K17" s="12">
        <f>-(IncomeStatement_Year1!J31-J17)</f>
        <v>-17946.428571428569</v>
      </c>
      <c r="L17" s="12">
        <f>-(IncomeStatement_Year1!K31-K17)</f>
        <v>-19940.476190476187</v>
      </c>
      <c r="M17" s="12">
        <f>-(IncomeStatement_Year1!L31-L17)</f>
        <v>-21934.523809523806</v>
      </c>
      <c r="N17" s="12">
        <f>-(IncomeStatement_Year1!M31-M17)</f>
        <v>-23928.571428571424</v>
      </c>
    </row>
    <row r="18" spans="1:14" x14ac:dyDescent="0.25">
      <c r="A18" s="4" t="s">
        <v>106</v>
      </c>
      <c r="B18" s="14">
        <f t="shared" ref="B18:N18" si="1">SUM(B15:B17)</f>
        <v>10000</v>
      </c>
      <c r="C18" s="14">
        <f t="shared" si="1"/>
        <v>208005.95238095237</v>
      </c>
      <c r="D18" s="14">
        <f t="shared" si="1"/>
        <v>206011.90476190476</v>
      </c>
      <c r="E18" s="14">
        <f t="shared" si="1"/>
        <v>204017.85714285713</v>
      </c>
      <c r="F18" s="14">
        <f t="shared" si="1"/>
        <v>202023.80952380953</v>
      </c>
      <c r="G18" s="14">
        <f t="shared" si="1"/>
        <v>200029.76190476189</v>
      </c>
      <c r="H18" s="14">
        <f t="shared" si="1"/>
        <v>198035.71428571429</v>
      </c>
      <c r="I18" s="14">
        <f t="shared" si="1"/>
        <v>196041.66666666666</v>
      </c>
      <c r="J18" s="14">
        <f t="shared" si="1"/>
        <v>194047.61904761905</v>
      </c>
      <c r="K18" s="14">
        <f t="shared" si="1"/>
        <v>192053.57142857142</v>
      </c>
      <c r="L18" s="14">
        <f t="shared" si="1"/>
        <v>190059.52380952382</v>
      </c>
      <c r="M18" s="14">
        <f t="shared" si="1"/>
        <v>188065.47619047618</v>
      </c>
      <c r="N18" s="14">
        <f t="shared" si="1"/>
        <v>186071.42857142858</v>
      </c>
    </row>
    <row r="19" spans="1:14" x14ac:dyDescent="0.25">
      <c r="B19" s="13"/>
    </row>
    <row r="20" spans="1:14" x14ac:dyDescent="0.25">
      <c r="A20" s="4" t="s">
        <v>107</v>
      </c>
      <c r="B20" s="15">
        <f t="shared" ref="B20:N20" si="2">B12+B18</f>
        <v>100000</v>
      </c>
      <c r="C20" s="9">
        <f t="shared" si="2"/>
        <v>4548258.7135151392</v>
      </c>
      <c r="D20" s="9">
        <f t="shared" si="2"/>
        <v>4453079.9270302784</v>
      </c>
      <c r="E20" s="9">
        <f t="shared" si="2"/>
        <v>4340575.165545417</v>
      </c>
      <c r="F20" s="9">
        <f t="shared" si="2"/>
        <v>4711139.2822654229</v>
      </c>
      <c r="G20" s="9">
        <f t="shared" si="2"/>
        <v>4827680.7980747139</v>
      </c>
      <c r="H20" s="9">
        <f t="shared" si="2"/>
        <v>4950621.4272934729</v>
      </c>
      <c r="I20" s="9">
        <f t="shared" si="2"/>
        <v>5074663.4218136175</v>
      </c>
      <c r="J20" s="9">
        <f t="shared" si="2"/>
        <v>5199920.9482035302</v>
      </c>
      <c r="K20" s="9">
        <f t="shared" si="2"/>
        <v>5331920.273058462</v>
      </c>
      <c r="L20" s="9">
        <f t="shared" si="2"/>
        <v>5470783.2929868624</v>
      </c>
      <c r="M20" s="9">
        <f t="shared" si="2"/>
        <v>5616636.0766156595</v>
      </c>
      <c r="N20" s="9">
        <f t="shared" si="2"/>
        <v>5769609.0860433113</v>
      </c>
    </row>
    <row r="21" spans="1:14" x14ac:dyDescent="0.25">
      <c r="B21" s="13"/>
    </row>
    <row r="22" spans="1:14" x14ac:dyDescent="0.25">
      <c r="A22" s="4" t="s">
        <v>108</v>
      </c>
      <c r="B22" s="13"/>
    </row>
    <row r="23" spans="1:14" x14ac:dyDescent="0.25">
      <c r="A23" t="s">
        <v>109</v>
      </c>
      <c r="B23" s="13"/>
    </row>
    <row r="24" spans="1:14" x14ac:dyDescent="0.25">
      <c r="A24" t="s">
        <v>110</v>
      </c>
      <c r="B24" s="12">
        <f>0</f>
        <v>0</v>
      </c>
      <c r="C24" s="12">
        <f>(IncomeStatement_Year1!B12+SUM(IncomeStatement_Year1!B18:B28)+IncomeStatement_Year1!B30)/2</f>
        <v>37500</v>
      </c>
      <c r="D24" s="12">
        <f>(IncomeStatement_Year1!C12+SUM(IncomeStatement_Year1!C18:C28)+IncomeStatement_Year1!C30)/2</f>
        <v>43437.5</v>
      </c>
      <c r="E24" s="12">
        <f>(IncomeStatement_Year1!D12+SUM(IncomeStatement_Year1!D18:D28)+IncomeStatement_Year1!D30)/2</f>
        <v>54825.975000000006</v>
      </c>
      <c r="F24" s="12">
        <f>(IncomeStatement_Year1!E12+SUM(IncomeStatement_Year1!E18:E28)+IncomeStatement_Year1!E30)/2</f>
        <v>316788.70019998733</v>
      </c>
      <c r="G24" s="12">
        <f>(IncomeStatement_Year1!F12+SUM(IncomeStatement_Year1!F18:F28)+IncomeStatement_Year1!F30)/2</f>
        <v>318472.89288044604</v>
      </c>
      <c r="H24" s="12">
        <f>(IncomeStatement_Year1!G12+SUM(IncomeStatement_Year1!G18:G28)+IncomeStatement_Year1!G30)/2</f>
        <v>320194.39552750101</v>
      </c>
      <c r="I24" s="12">
        <f>(IncomeStatement_Year1!H12+SUM(IncomeStatement_Year1!H18:H28)+IncomeStatement_Year1!H30)/2</f>
        <v>327362.91145499441</v>
      </c>
      <c r="J24" s="12">
        <f>(IncomeStatement_Year1!I12+SUM(IncomeStatement_Year1!I18:I28)+IncomeStatement_Year1!I30)/2</f>
        <v>329163.21059240657</v>
      </c>
      <c r="K24" s="12">
        <f>(IncomeStatement_Year1!J12+SUM(IncomeStatement_Year1!J18:J28)+IncomeStatement_Year1!J30)/2</f>
        <v>331005.13308064127</v>
      </c>
      <c r="L24" s="12">
        <f>(IncomeStatement_Year1!K12+SUM(IncomeStatement_Year1!K18:K28)+IncomeStatement_Year1!K30)/2</f>
        <v>332890.25973681116</v>
      </c>
      <c r="M24" s="12">
        <f>(IncomeStatement_Year1!L12+SUM(IncomeStatement_Year1!L18:L28)+IncomeStatement_Year1!L30)/2</f>
        <v>334820.2493996683</v>
      </c>
      <c r="N24" s="12">
        <f>(IncomeStatement_Year1!M12+SUM(IncomeStatement_Year1!M18:M28)+IncomeStatement_Year1!M30)/2</f>
        <v>336796.84316800669</v>
      </c>
    </row>
    <row r="25" spans="1:14" x14ac:dyDescent="0.25">
      <c r="A25" s="4" t="s">
        <v>111</v>
      </c>
      <c r="B25" s="14">
        <f t="shared" ref="B25:N25" si="3">B24</f>
        <v>0</v>
      </c>
      <c r="C25" s="14">
        <f t="shared" si="3"/>
        <v>37500</v>
      </c>
      <c r="D25" s="14">
        <f t="shared" si="3"/>
        <v>43437.5</v>
      </c>
      <c r="E25" s="14">
        <f t="shared" si="3"/>
        <v>54825.975000000006</v>
      </c>
      <c r="F25" s="14">
        <f t="shared" si="3"/>
        <v>316788.70019998733</v>
      </c>
      <c r="G25" s="14">
        <f t="shared" si="3"/>
        <v>318472.89288044604</v>
      </c>
      <c r="H25" s="14">
        <f t="shared" si="3"/>
        <v>320194.39552750101</v>
      </c>
      <c r="I25" s="14">
        <f t="shared" si="3"/>
        <v>327362.91145499441</v>
      </c>
      <c r="J25" s="14">
        <f t="shared" si="3"/>
        <v>329163.21059240657</v>
      </c>
      <c r="K25" s="14">
        <f t="shared" si="3"/>
        <v>331005.13308064127</v>
      </c>
      <c r="L25" s="14">
        <f t="shared" si="3"/>
        <v>332890.25973681116</v>
      </c>
      <c r="M25" s="14">
        <f t="shared" si="3"/>
        <v>334820.2493996683</v>
      </c>
      <c r="N25" s="14">
        <f t="shared" si="3"/>
        <v>336796.84316800669</v>
      </c>
    </row>
    <row r="26" spans="1:14" x14ac:dyDescent="0.25">
      <c r="B26" s="13"/>
    </row>
    <row r="27" spans="1:14" x14ac:dyDescent="0.25">
      <c r="A27" t="s">
        <v>112</v>
      </c>
      <c r="B27" s="13"/>
    </row>
    <row r="28" spans="1:14" x14ac:dyDescent="0.25">
      <c r="A28" t="str">
        <f>LoanModule!C1</f>
        <v>Bank Loan</v>
      </c>
      <c r="B28" s="12">
        <f>LoanModule!F9</f>
        <v>0</v>
      </c>
      <c r="C28" s="12">
        <f>LoanModule!F10</f>
        <v>0</v>
      </c>
      <c r="D28" s="12">
        <f>LoanModule!F11</f>
        <v>0</v>
      </c>
      <c r="E28" s="12">
        <f>LoanModule!F12</f>
        <v>0</v>
      </c>
      <c r="F28" s="12">
        <f>LoanModule!F13</f>
        <v>0</v>
      </c>
      <c r="G28" s="12">
        <f>LoanModule!F14</f>
        <v>0</v>
      </c>
      <c r="H28" s="12">
        <f>LoanModule!F15</f>
        <v>0</v>
      </c>
      <c r="I28" s="12">
        <f>LoanModule!F16</f>
        <v>0</v>
      </c>
      <c r="J28" s="12">
        <f>LoanModule!F17</f>
        <v>0</v>
      </c>
      <c r="K28" s="12">
        <f>LoanModule!F18</f>
        <v>0</v>
      </c>
      <c r="L28" s="12">
        <f>LoanModule!F19</f>
        <v>0</v>
      </c>
      <c r="M28" s="12">
        <f>LoanModule!F20</f>
        <v>0</v>
      </c>
      <c r="N28" s="12">
        <f>LoanModule!F21</f>
        <v>0</v>
      </c>
    </row>
    <row r="29" spans="1:14" x14ac:dyDescent="0.25">
      <c r="A29" s="4" t="s">
        <v>113</v>
      </c>
      <c r="B29" s="14">
        <f t="shared" ref="B29:N29" si="4">SUM(B28:B28)</f>
        <v>0</v>
      </c>
      <c r="C29" s="14">
        <f t="shared" si="4"/>
        <v>0</v>
      </c>
      <c r="D29" s="14">
        <f t="shared" si="4"/>
        <v>0</v>
      </c>
      <c r="E29" s="14">
        <f t="shared" si="4"/>
        <v>0</v>
      </c>
      <c r="F29" s="14">
        <f t="shared" si="4"/>
        <v>0</v>
      </c>
      <c r="G29" s="14">
        <f t="shared" si="4"/>
        <v>0</v>
      </c>
      <c r="H29" s="14">
        <f t="shared" si="4"/>
        <v>0</v>
      </c>
      <c r="I29" s="14">
        <f t="shared" si="4"/>
        <v>0</v>
      </c>
      <c r="J29" s="14">
        <f t="shared" si="4"/>
        <v>0</v>
      </c>
      <c r="K29" s="14">
        <f t="shared" si="4"/>
        <v>0</v>
      </c>
      <c r="L29" s="14">
        <f t="shared" si="4"/>
        <v>0</v>
      </c>
      <c r="M29" s="14">
        <f t="shared" si="4"/>
        <v>0</v>
      </c>
      <c r="N29" s="14">
        <f t="shared" si="4"/>
        <v>0</v>
      </c>
    </row>
    <row r="30" spans="1:14" x14ac:dyDescent="0.25">
      <c r="B30" s="13"/>
    </row>
    <row r="31" spans="1:14" x14ac:dyDescent="0.25">
      <c r="A31" s="4" t="s">
        <v>114</v>
      </c>
      <c r="B31" s="15">
        <f t="shared" ref="B31:N31" si="5">B25+B29</f>
        <v>0</v>
      </c>
      <c r="C31" s="9">
        <f t="shared" si="5"/>
        <v>37500</v>
      </c>
      <c r="D31" s="9">
        <f t="shared" si="5"/>
        <v>43437.5</v>
      </c>
      <c r="E31" s="9">
        <f t="shared" si="5"/>
        <v>54825.975000000006</v>
      </c>
      <c r="F31" s="9">
        <f t="shared" si="5"/>
        <v>316788.70019998733</v>
      </c>
      <c r="G31" s="9">
        <f t="shared" si="5"/>
        <v>318472.89288044604</v>
      </c>
      <c r="H31" s="9">
        <f t="shared" si="5"/>
        <v>320194.39552750101</v>
      </c>
      <c r="I31" s="9">
        <f t="shared" si="5"/>
        <v>327362.91145499441</v>
      </c>
      <c r="J31" s="9">
        <f t="shared" si="5"/>
        <v>329163.21059240657</v>
      </c>
      <c r="K31" s="9">
        <f t="shared" si="5"/>
        <v>331005.13308064127</v>
      </c>
      <c r="L31" s="9">
        <f t="shared" si="5"/>
        <v>332890.25973681116</v>
      </c>
      <c r="M31" s="9">
        <f t="shared" si="5"/>
        <v>334820.2493996683</v>
      </c>
      <c r="N31" s="9">
        <f t="shared" si="5"/>
        <v>336796.84316800669</v>
      </c>
    </row>
    <row r="32" spans="1:14" x14ac:dyDescent="0.25">
      <c r="B32" s="13"/>
    </row>
    <row r="33" spans="1:14" x14ac:dyDescent="0.25">
      <c r="A33" t="s">
        <v>115</v>
      </c>
      <c r="B33" s="13"/>
    </row>
    <row r="34" spans="1:14" x14ac:dyDescent="0.25">
      <c r="A34" t="s">
        <v>116</v>
      </c>
      <c r="B34" s="12">
        <f>StartupCosts!B11</f>
        <v>50000</v>
      </c>
      <c r="C34" s="6">
        <f t="shared" ref="C34:N34" si="6">B34</f>
        <v>50000</v>
      </c>
      <c r="D34" s="12">
        <f t="shared" si="6"/>
        <v>50000</v>
      </c>
      <c r="E34" s="12">
        <f t="shared" si="6"/>
        <v>50000</v>
      </c>
      <c r="F34" s="12">
        <f t="shared" si="6"/>
        <v>50000</v>
      </c>
      <c r="G34" s="12">
        <f t="shared" si="6"/>
        <v>50000</v>
      </c>
      <c r="H34" s="12">
        <f t="shared" si="6"/>
        <v>50000</v>
      </c>
      <c r="I34" s="12">
        <f t="shared" si="6"/>
        <v>50000</v>
      </c>
      <c r="J34" s="12">
        <f t="shared" si="6"/>
        <v>50000</v>
      </c>
      <c r="K34" s="12">
        <f t="shared" si="6"/>
        <v>50000</v>
      </c>
      <c r="L34" s="12">
        <f t="shared" si="6"/>
        <v>50000</v>
      </c>
      <c r="M34" s="12">
        <f t="shared" si="6"/>
        <v>50000</v>
      </c>
      <c r="N34" s="12">
        <f t="shared" si="6"/>
        <v>50000</v>
      </c>
    </row>
    <row r="35" spans="1:14" x14ac:dyDescent="0.25">
      <c r="A35" t="s">
        <v>117</v>
      </c>
      <c r="B35" s="12">
        <f>StartupCosts!B12</f>
        <v>0</v>
      </c>
      <c r="C35" s="12">
        <f>DATA!B94</f>
        <v>4500000</v>
      </c>
      <c r="D35" s="12">
        <f>C35+DATA!C94</f>
        <v>4500000</v>
      </c>
      <c r="E35" s="12">
        <f>D35+DATA!D94</f>
        <v>4500000</v>
      </c>
      <c r="F35" s="12">
        <f>E35+DATA!E94</f>
        <v>4500000</v>
      </c>
      <c r="G35" s="12">
        <f>F35+DATA!F94</f>
        <v>4500000</v>
      </c>
      <c r="H35" s="12">
        <f>G35+DATA!G94</f>
        <v>4500000</v>
      </c>
      <c r="I35" s="12">
        <f>H35+DATA!H94</f>
        <v>4500000</v>
      </c>
      <c r="J35" s="12">
        <f>I35+DATA!I94</f>
        <v>4500000</v>
      </c>
      <c r="K35" s="12">
        <f>J35+DATA!J94</f>
        <v>4500000</v>
      </c>
      <c r="L35" s="12">
        <f>K35+DATA!K94</f>
        <v>4500000</v>
      </c>
      <c r="M35" s="12">
        <f>L35+DATA!L94</f>
        <v>4500000</v>
      </c>
      <c r="N35" s="12">
        <f>M35+DATA!M94</f>
        <v>4500000</v>
      </c>
    </row>
    <row r="36" spans="1:14" x14ac:dyDescent="0.25">
      <c r="A36" t="s">
        <v>18</v>
      </c>
      <c r="B36" s="12">
        <v>0</v>
      </c>
      <c r="C36" s="12">
        <f>B36+DATA!B40</f>
        <v>0</v>
      </c>
      <c r="D36" s="12">
        <f>C36+DATA!C40</f>
        <v>0</v>
      </c>
      <c r="E36" s="12">
        <f>D36+DATA!D40</f>
        <v>0</v>
      </c>
      <c r="F36" s="12">
        <f>E36+DATA!E40</f>
        <v>0</v>
      </c>
      <c r="G36" s="12">
        <f>F36+DATA!F40</f>
        <v>0</v>
      </c>
      <c r="H36" s="12">
        <f>G36+DATA!G40</f>
        <v>0</v>
      </c>
      <c r="I36" s="12">
        <f>H36+DATA!H40</f>
        <v>0</v>
      </c>
      <c r="J36" s="12">
        <f>I36+DATA!I40</f>
        <v>0</v>
      </c>
      <c r="K36" s="12">
        <f>J36+DATA!J40</f>
        <v>0</v>
      </c>
      <c r="L36" s="12">
        <f>K36+DATA!K40</f>
        <v>0</v>
      </c>
      <c r="M36" s="12">
        <f>L36+DATA!L40</f>
        <v>0</v>
      </c>
      <c r="N36" s="12">
        <f>M36+DATA!M40</f>
        <v>0</v>
      </c>
    </row>
    <row r="37" spans="1:14" x14ac:dyDescent="0.25">
      <c r="A37" t="s">
        <v>118</v>
      </c>
      <c r="B37" s="12">
        <f>B20-B31-B35-B34</f>
        <v>50000</v>
      </c>
      <c r="C37" s="12">
        <f>(B37+IncomeStatement_Year1!B38)-C36</f>
        <v>-39241.286484860917</v>
      </c>
      <c r="D37" s="12">
        <f>(C37+IncomeStatement_Year1!C38)-D36</f>
        <v>-140357.57296972183</v>
      </c>
      <c r="E37" s="12">
        <f>(D37+IncomeStatement_Year1!D38)-E36</f>
        <v>-264250.80945458275</v>
      </c>
      <c r="F37" s="12">
        <f>(E37+IncomeStatement_Year1!E38)-F36</f>
        <v>-155649.41793456499</v>
      </c>
      <c r="G37" s="12">
        <f>(F37+IncomeStatement_Year1!F38)-G36</f>
        <v>-40792.094805732078</v>
      </c>
      <c r="H37" s="12">
        <f>(G37+IncomeStatement_Year1!G38)-H36</f>
        <v>80427.03176597174</v>
      </c>
      <c r="I37" s="12">
        <f>(H37+IncomeStatement_Year1!H38)-I36</f>
        <v>197300.51035862317</v>
      </c>
      <c r="J37" s="12">
        <f>(I37+IncomeStatement_Year1!I38)-J36</f>
        <v>320757.7376111229</v>
      </c>
      <c r="K37" s="12">
        <f>(J37+IncomeStatement_Year1!J38)-K36</f>
        <v>450915.13997782051</v>
      </c>
      <c r="L37" s="12">
        <f>(K37+IncomeStatement_Year1!K38)-L36</f>
        <v>587893.03325005015</v>
      </c>
      <c r="M37" s="12">
        <f>(L37+IncomeStatement_Year1!L38)-M36</f>
        <v>731815.82721599075</v>
      </c>
      <c r="N37" s="12">
        <f>(M37+IncomeStatement_Year1!M38)-N36</f>
        <v>882812.24287530431</v>
      </c>
    </row>
    <row r="38" spans="1:14" x14ac:dyDescent="0.25">
      <c r="A38" s="4" t="s">
        <v>119</v>
      </c>
      <c r="B38" s="15">
        <f>SUM(B34:B37)-B36</f>
        <v>100000</v>
      </c>
      <c r="C38" s="9">
        <f>SUM(C34:C37)-C36</f>
        <v>4510758.7135151392</v>
      </c>
      <c r="D38" s="9">
        <f>SUM(D34:D37)-D36+SUM(BalanceSheet_Year1!C36:C36)</f>
        <v>4409642.4270302784</v>
      </c>
      <c r="E38" s="9">
        <f>SUM(E34:E37)-E36+SUM(BalanceSheet_Year1!C36:D36)</f>
        <v>4285749.1905454174</v>
      </c>
      <c r="F38" s="9">
        <f>SUM(F34:F37)-F36+SUM(BalanceSheet_Year1!C36:E36)</f>
        <v>4394350.5820654351</v>
      </c>
      <c r="G38" s="9">
        <f>SUM(G34:G37)-G36+SUM(BalanceSheet_Year1!C36:F36)</f>
        <v>4509207.9051942676</v>
      </c>
      <c r="H38" s="9">
        <f>SUM(H34:H37)-H36+SUM(BalanceSheet_Year1!C36:G36)</f>
        <v>4630427.0317659713</v>
      </c>
      <c r="I38" s="9">
        <f>SUM(I34:I37)-I36+SUM(BalanceSheet_Year1!C36:H36)</f>
        <v>4747300.5103586232</v>
      </c>
      <c r="J38" s="9">
        <f>SUM(J34:J37)-J36+SUM(BalanceSheet_Year1!C36:I36)</f>
        <v>4870757.7376111224</v>
      </c>
      <c r="K38" s="9">
        <f>SUM(K34:K37)-K36+SUM(BalanceSheet_Year1!C36:J36)</f>
        <v>5000915.1399778202</v>
      </c>
      <c r="L38" s="9">
        <f>SUM(L34:L37)-L36+SUM(BalanceSheet_Year1!C36:K36)</f>
        <v>5137893.0332500506</v>
      </c>
      <c r="M38" s="9">
        <f>SUM(M34:M37)-M36+SUM(BalanceSheet_Year1!C36:L36)</f>
        <v>5281815.827215991</v>
      </c>
      <c r="N38" s="9">
        <f>SUM(N34:N37)-N36+SUM(BalanceSheet_Year1!C36:M36)</f>
        <v>5432812.2428753041</v>
      </c>
    </row>
    <row r="39" spans="1:14" x14ac:dyDescent="0.25">
      <c r="B39" s="13"/>
    </row>
    <row r="40" spans="1:14" x14ac:dyDescent="0.25">
      <c r="A40" s="4" t="s">
        <v>120</v>
      </c>
      <c r="B40" s="15">
        <f t="shared" ref="B40:N40" si="7">B38+B31</f>
        <v>100000</v>
      </c>
      <c r="C40" s="9">
        <f t="shared" si="7"/>
        <v>4548258.7135151392</v>
      </c>
      <c r="D40" s="9">
        <f t="shared" si="7"/>
        <v>4453079.9270302784</v>
      </c>
      <c r="E40" s="9">
        <f t="shared" si="7"/>
        <v>4340575.165545417</v>
      </c>
      <c r="F40" s="9">
        <f t="shared" si="7"/>
        <v>4711139.2822654229</v>
      </c>
      <c r="G40" s="9">
        <f t="shared" si="7"/>
        <v>4827680.7980747139</v>
      </c>
      <c r="H40" s="9">
        <f t="shared" si="7"/>
        <v>4950621.427293472</v>
      </c>
      <c r="I40" s="9">
        <f t="shared" si="7"/>
        <v>5074663.4218136175</v>
      </c>
      <c r="J40" s="9">
        <f t="shared" si="7"/>
        <v>5199920.9482035292</v>
      </c>
      <c r="K40" s="9">
        <f t="shared" si="7"/>
        <v>5331920.273058461</v>
      </c>
      <c r="L40" s="9">
        <f t="shared" si="7"/>
        <v>5470783.2929868614</v>
      </c>
      <c r="M40" s="9">
        <f t="shared" si="7"/>
        <v>5616636.0766156595</v>
      </c>
      <c r="N40" s="9">
        <f t="shared" si="7"/>
        <v>5769609.0860433104</v>
      </c>
    </row>
    <row r="41" spans="1:14" x14ac:dyDescent="0.25">
      <c r="B41" s="6"/>
      <c r="C41" s="6">
        <f>C20-C40</f>
        <v>0</v>
      </c>
      <c r="D41" s="6">
        <f t="shared" ref="D41:N41" si="8">D20-D40</f>
        <v>0</v>
      </c>
      <c r="E41" s="6">
        <f t="shared" si="8"/>
        <v>0</v>
      </c>
      <c r="F41" s="6">
        <f t="shared" si="8"/>
        <v>0</v>
      </c>
      <c r="G41" s="6">
        <f t="shared" si="8"/>
        <v>0</v>
      </c>
      <c r="H41" s="6">
        <f t="shared" si="8"/>
        <v>0</v>
      </c>
      <c r="I41" s="6">
        <f t="shared" si="8"/>
        <v>0</v>
      </c>
      <c r="J41" s="6">
        <f t="shared" si="8"/>
        <v>0</v>
      </c>
      <c r="K41" s="6">
        <f t="shared" si="8"/>
        <v>0</v>
      </c>
      <c r="L41" s="6">
        <f t="shared" si="8"/>
        <v>0</v>
      </c>
      <c r="M41" s="6">
        <f t="shared" si="8"/>
        <v>0</v>
      </c>
      <c r="N41" s="6">
        <f t="shared" si="8"/>
        <v>0</v>
      </c>
    </row>
    <row r="45" spans="1:14" x14ac:dyDescent="0.25">
      <c r="A45" t="s">
        <v>79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94"/>
  <sheetViews>
    <sheetView topLeftCell="A66" workbookViewId="0">
      <pane xSplit="1" topLeftCell="B1" activePane="topRight" state="frozen"/>
      <selection activeCell="A37" sqref="A37"/>
      <selection pane="topRight" activeCell="B88" sqref="B88"/>
    </sheetView>
  </sheetViews>
  <sheetFormatPr defaultColWidth="8.85546875" defaultRowHeight="15" x14ac:dyDescent="0.25"/>
  <cols>
    <col min="1" max="1" width="32.28515625" bestFit="1" customWidth="1"/>
    <col min="2" max="2" width="23.42578125" bestFit="1" customWidth="1"/>
    <col min="3" max="3" width="29.42578125" bestFit="1" customWidth="1"/>
    <col min="4" max="4" width="15.28515625" bestFit="1" customWidth="1"/>
    <col min="5" max="5" width="18.7109375" bestFit="1" customWidth="1"/>
    <col min="6" max="10" width="11.7109375" bestFit="1" customWidth="1"/>
    <col min="11" max="37" width="12.85546875" bestFit="1" customWidth="1"/>
    <col min="38" max="38" width="11" bestFit="1" customWidth="1"/>
    <col min="39" max="49" width="10.85546875" bestFit="1" customWidth="1"/>
    <col min="50" max="61" width="11.85546875" bestFit="1" customWidth="1"/>
  </cols>
  <sheetData>
    <row r="1" spans="1:2" x14ac:dyDescent="0.25">
      <c r="A1" t="s">
        <v>0</v>
      </c>
      <c r="B1" s="58" t="s">
        <v>233</v>
      </c>
    </row>
    <row r="3" spans="1:2" ht="45" x14ac:dyDescent="0.25">
      <c r="A3" s="1" t="s">
        <v>1</v>
      </c>
      <c r="B3" s="18">
        <v>0.1</v>
      </c>
    </row>
    <row r="4" spans="1:2" ht="45" x14ac:dyDescent="0.25">
      <c r="A4" s="1" t="s">
        <v>2</v>
      </c>
      <c r="B4" s="19">
        <v>0</v>
      </c>
    </row>
    <row r="6" spans="1:2" x14ac:dyDescent="0.25">
      <c r="A6" s="4" t="s">
        <v>3</v>
      </c>
    </row>
    <row r="7" spans="1:2" x14ac:dyDescent="0.25">
      <c r="A7" s="4" t="s">
        <v>4</v>
      </c>
    </row>
    <row r="8" spans="1:2" x14ac:dyDescent="0.25">
      <c r="A8" t="s">
        <v>5</v>
      </c>
      <c r="B8" s="19">
        <v>90000</v>
      </c>
    </row>
    <row r="11" spans="1:2" x14ac:dyDescent="0.25">
      <c r="A11" t="s">
        <v>6</v>
      </c>
      <c r="B11" s="3">
        <f>IF(LoanModule!C5&lt;=1,LoanModule!C2,0)</f>
        <v>0</v>
      </c>
    </row>
    <row r="12" spans="1:2" x14ac:dyDescent="0.25">
      <c r="A12" t="s">
        <v>7</v>
      </c>
      <c r="B12" s="3">
        <f>IF(LoanModule!C5&gt;1,LoanModule!C2,0)</f>
        <v>500000</v>
      </c>
    </row>
    <row r="13" spans="1:2" x14ac:dyDescent="0.25">
      <c r="A13" s="4" t="s">
        <v>8</v>
      </c>
      <c r="B13" s="3">
        <f>B8+B11</f>
        <v>90000</v>
      </c>
    </row>
    <row r="15" spans="1:2" x14ac:dyDescent="0.25">
      <c r="A15" t="s">
        <v>9</v>
      </c>
    </row>
    <row r="18" spans="1:61" x14ac:dyDescent="0.25">
      <c r="A18" t="s">
        <v>10</v>
      </c>
      <c r="B18" t="s">
        <v>11</v>
      </c>
      <c r="C18" t="s">
        <v>12</v>
      </c>
      <c r="D18" t="s">
        <v>13</v>
      </c>
      <c r="E18" t="s">
        <v>14</v>
      </c>
    </row>
    <row r="19" spans="1:61" x14ac:dyDescent="0.25">
      <c r="A19" s="43" t="s">
        <v>10</v>
      </c>
      <c r="B19" s="19">
        <v>200000</v>
      </c>
      <c r="C19" s="20">
        <v>7</v>
      </c>
      <c r="D19" s="19">
        <v>50000</v>
      </c>
      <c r="E19" s="20">
        <v>1</v>
      </c>
    </row>
    <row r="21" spans="1:61" x14ac:dyDescent="0.25">
      <c r="A21" s="30" t="s">
        <v>157</v>
      </c>
      <c r="B21" t="s">
        <v>11</v>
      </c>
      <c r="C21" t="s">
        <v>12</v>
      </c>
      <c r="D21" t="s">
        <v>13</v>
      </c>
      <c r="E21" t="s">
        <v>14</v>
      </c>
    </row>
    <row r="22" spans="1:61" x14ac:dyDescent="0.25">
      <c r="A22" s="58" t="s">
        <v>207</v>
      </c>
      <c r="B22" s="19">
        <v>10000</v>
      </c>
      <c r="C22" s="20">
        <v>4</v>
      </c>
      <c r="D22" s="19">
        <v>0</v>
      </c>
      <c r="E22" s="20">
        <v>0</v>
      </c>
    </row>
    <row r="25" spans="1:61" x14ac:dyDescent="0.25">
      <c r="A25" t="s">
        <v>16</v>
      </c>
    </row>
    <row r="26" spans="1:61" x14ac:dyDescent="0.25">
      <c r="A26" s="30" t="s">
        <v>121</v>
      </c>
      <c r="B26" s="20">
        <v>0</v>
      </c>
    </row>
    <row r="28" spans="1:61" hidden="1" x14ac:dyDescent="0.25">
      <c r="A28" t="s">
        <v>17</v>
      </c>
      <c r="B28">
        <v>1</v>
      </c>
      <c r="C28">
        <v>2</v>
      </c>
      <c r="D28">
        <v>3</v>
      </c>
      <c r="E28">
        <v>4</v>
      </c>
      <c r="F28">
        <v>5</v>
      </c>
      <c r="G28">
        <v>6</v>
      </c>
      <c r="H28">
        <v>7</v>
      </c>
      <c r="I28">
        <v>8</v>
      </c>
      <c r="J28">
        <v>9</v>
      </c>
      <c r="K28">
        <v>10</v>
      </c>
      <c r="L28">
        <v>11</v>
      </c>
      <c r="M28">
        <v>12</v>
      </c>
      <c r="N28">
        <v>13</v>
      </c>
      <c r="O28">
        <v>14</v>
      </c>
      <c r="P28">
        <v>15</v>
      </c>
      <c r="Q28">
        <v>16</v>
      </c>
      <c r="R28">
        <v>17</v>
      </c>
      <c r="S28">
        <v>18</v>
      </c>
      <c r="T28">
        <v>19</v>
      </c>
      <c r="U28">
        <v>20</v>
      </c>
      <c r="V28">
        <v>21</v>
      </c>
      <c r="W28">
        <v>22</v>
      </c>
      <c r="X28">
        <v>23</v>
      </c>
      <c r="Y28">
        <v>24</v>
      </c>
      <c r="Z28">
        <v>25</v>
      </c>
      <c r="AA28">
        <v>26</v>
      </c>
      <c r="AB28">
        <v>27</v>
      </c>
      <c r="AC28">
        <v>28</v>
      </c>
      <c r="AD28">
        <v>29</v>
      </c>
      <c r="AE28">
        <v>30</v>
      </c>
      <c r="AF28">
        <v>31</v>
      </c>
      <c r="AG28">
        <v>32</v>
      </c>
      <c r="AH28">
        <v>33</v>
      </c>
      <c r="AI28">
        <v>34</v>
      </c>
      <c r="AJ28">
        <v>35</v>
      </c>
      <c r="AK28">
        <v>36</v>
      </c>
      <c r="AL28">
        <v>37</v>
      </c>
      <c r="AM28">
        <v>38</v>
      </c>
      <c r="AN28">
        <v>39</v>
      </c>
      <c r="AO28">
        <v>40</v>
      </c>
      <c r="AP28">
        <v>41</v>
      </c>
      <c r="AQ28">
        <v>42</v>
      </c>
      <c r="AR28">
        <v>43</v>
      </c>
      <c r="AS28">
        <v>44</v>
      </c>
      <c r="AT28">
        <v>45</v>
      </c>
      <c r="AU28">
        <v>46</v>
      </c>
      <c r="AV28">
        <v>47</v>
      </c>
      <c r="AW28">
        <v>48</v>
      </c>
      <c r="AX28">
        <v>49</v>
      </c>
      <c r="AY28">
        <v>50</v>
      </c>
      <c r="AZ28">
        <v>51</v>
      </c>
      <c r="BA28">
        <v>52</v>
      </c>
      <c r="BB28">
        <v>53</v>
      </c>
      <c r="BC28">
        <v>54</v>
      </c>
      <c r="BD28">
        <v>55</v>
      </c>
      <c r="BE28">
        <v>56</v>
      </c>
      <c r="BF28">
        <v>57</v>
      </c>
      <c r="BG28">
        <v>58</v>
      </c>
      <c r="BH28">
        <v>59</v>
      </c>
      <c r="BI28">
        <v>60</v>
      </c>
    </row>
    <row r="29" spans="1:61" hidden="1" x14ac:dyDescent="0.25">
      <c r="A29" s="30" t="s">
        <v>135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9">
        <v>0</v>
      </c>
      <c r="AP29" s="19">
        <v>0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0</v>
      </c>
      <c r="AY29" s="19">
        <v>0</v>
      </c>
      <c r="AZ29" s="19">
        <v>0</v>
      </c>
      <c r="BA29" s="19">
        <v>0</v>
      </c>
      <c r="BB29" s="19">
        <v>0</v>
      </c>
      <c r="BC29" s="19">
        <v>0</v>
      </c>
      <c r="BD29" s="19">
        <v>0</v>
      </c>
      <c r="BE29" s="19">
        <v>0</v>
      </c>
      <c r="BF29" s="19">
        <v>0</v>
      </c>
      <c r="BG29" s="19">
        <v>0</v>
      </c>
      <c r="BH29" s="19">
        <v>0</v>
      </c>
      <c r="BI29" s="19">
        <v>0</v>
      </c>
    </row>
    <row r="30" spans="1:61" hidden="1" x14ac:dyDescent="0.25"/>
    <row r="31" spans="1:61" hidden="1" x14ac:dyDescent="0.25">
      <c r="A31" s="30" t="s">
        <v>136</v>
      </c>
      <c r="B31" s="21">
        <v>0</v>
      </c>
      <c r="C31" s="5">
        <f t="shared" ref="C31:AK31" si="0">B31*(1+B32)</f>
        <v>0</v>
      </c>
      <c r="D31" s="5">
        <f t="shared" si="0"/>
        <v>0</v>
      </c>
      <c r="E31" s="5">
        <f t="shared" si="0"/>
        <v>0</v>
      </c>
      <c r="F31" s="5">
        <f t="shared" si="0"/>
        <v>0</v>
      </c>
      <c r="G31" s="5">
        <f t="shared" si="0"/>
        <v>0</v>
      </c>
      <c r="H31" s="5">
        <f t="shared" si="0"/>
        <v>0</v>
      </c>
      <c r="I31" s="5">
        <f t="shared" si="0"/>
        <v>0</v>
      </c>
      <c r="J31" s="5">
        <f t="shared" si="0"/>
        <v>0</v>
      </c>
      <c r="K31" s="5">
        <f t="shared" si="0"/>
        <v>0</v>
      </c>
      <c r="L31" s="5">
        <f t="shared" si="0"/>
        <v>0</v>
      </c>
      <c r="M31" s="5">
        <f t="shared" si="0"/>
        <v>0</v>
      </c>
      <c r="N31" s="5">
        <f t="shared" si="0"/>
        <v>0</v>
      </c>
      <c r="O31" s="5">
        <f t="shared" si="0"/>
        <v>0</v>
      </c>
      <c r="P31" s="5">
        <f t="shared" si="0"/>
        <v>0</v>
      </c>
      <c r="Q31" s="5">
        <f t="shared" si="0"/>
        <v>0</v>
      </c>
      <c r="R31" s="5">
        <f t="shared" si="0"/>
        <v>0</v>
      </c>
      <c r="S31" s="5">
        <f t="shared" si="0"/>
        <v>0</v>
      </c>
      <c r="T31" s="5">
        <f t="shared" si="0"/>
        <v>0</v>
      </c>
      <c r="U31" s="5">
        <f t="shared" si="0"/>
        <v>0</v>
      </c>
      <c r="V31" s="5">
        <f t="shared" si="0"/>
        <v>0</v>
      </c>
      <c r="W31" s="5">
        <f t="shared" si="0"/>
        <v>0</v>
      </c>
      <c r="X31" s="5">
        <f t="shared" si="0"/>
        <v>0</v>
      </c>
      <c r="Y31" s="5">
        <f t="shared" si="0"/>
        <v>0</v>
      </c>
      <c r="Z31" s="5">
        <f t="shared" si="0"/>
        <v>0</v>
      </c>
      <c r="AA31" s="5">
        <f t="shared" si="0"/>
        <v>0</v>
      </c>
      <c r="AB31" s="5">
        <f t="shared" si="0"/>
        <v>0</v>
      </c>
      <c r="AC31" s="5">
        <f t="shared" si="0"/>
        <v>0</v>
      </c>
      <c r="AD31" s="5">
        <f t="shared" si="0"/>
        <v>0</v>
      </c>
      <c r="AE31" s="5">
        <f t="shared" si="0"/>
        <v>0</v>
      </c>
      <c r="AF31" s="5">
        <f t="shared" si="0"/>
        <v>0</v>
      </c>
      <c r="AG31" s="5">
        <f t="shared" si="0"/>
        <v>0</v>
      </c>
      <c r="AH31" s="5">
        <f t="shared" si="0"/>
        <v>0</v>
      </c>
      <c r="AI31" s="5">
        <f t="shared" si="0"/>
        <v>0</v>
      </c>
      <c r="AJ31" s="5">
        <f t="shared" si="0"/>
        <v>0</v>
      </c>
      <c r="AK31" s="5">
        <f t="shared" si="0"/>
        <v>0</v>
      </c>
      <c r="AL31" s="5">
        <f t="shared" ref="AL31" si="1">AK31*(1+AK32)</f>
        <v>0</v>
      </c>
      <c r="AM31" s="5">
        <f t="shared" ref="AM31" si="2">AL31*(1+AL32)</f>
        <v>0</v>
      </c>
      <c r="AN31" s="5">
        <f t="shared" ref="AN31" si="3">AM31*(1+AM32)</f>
        <v>0</v>
      </c>
      <c r="AO31" s="5">
        <f t="shared" ref="AO31" si="4">AN31*(1+AN32)</f>
        <v>0</v>
      </c>
      <c r="AP31" s="5">
        <f t="shared" ref="AP31" si="5">AO31*(1+AO32)</f>
        <v>0</v>
      </c>
      <c r="AQ31" s="5">
        <f t="shared" ref="AQ31" si="6">AP31*(1+AP32)</f>
        <v>0</v>
      </c>
      <c r="AR31" s="5">
        <f t="shared" ref="AR31" si="7">AQ31*(1+AQ32)</f>
        <v>0</v>
      </c>
      <c r="AS31" s="5">
        <f t="shared" ref="AS31" si="8">AR31*(1+AR32)</f>
        <v>0</v>
      </c>
      <c r="AT31" s="5">
        <f t="shared" ref="AT31" si="9">AS31*(1+AS32)</f>
        <v>0</v>
      </c>
      <c r="AU31" s="5">
        <f t="shared" ref="AU31" si="10">AT31*(1+AT32)</f>
        <v>0</v>
      </c>
      <c r="AV31" s="5">
        <f t="shared" ref="AV31" si="11">AU31*(1+AU32)</f>
        <v>0</v>
      </c>
      <c r="AW31" s="5">
        <f t="shared" ref="AW31" si="12">AV31*(1+AV32)</f>
        <v>0</v>
      </c>
      <c r="AX31" s="5">
        <f t="shared" ref="AX31" si="13">AW31*(1+AW32)</f>
        <v>0</v>
      </c>
      <c r="AY31" s="5">
        <f t="shared" ref="AY31" si="14">AX31*(1+AX32)</f>
        <v>0</v>
      </c>
      <c r="AZ31" s="5">
        <f t="shared" ref="AZ31" si="15">AY31*(1+AY32)</f>
        <v>0</v>
      </c>
      <c r="BA31" s="5">
        <f t="shared" ref="BA31" si="16">AZ31*(1+AZ32)</f>
        <v>0</v>
      </c>
      <c r="BB31" s="5">
        <f t="shared" ref="BB31" si="17">BA31*(1+BA32)</f>
        <v>0</v>
      </c>
      <c r="BC31" s="5">
        <f t="shared" ref="BC31" si="18">BB31*(1+BB32)</f>
        <v>0</v>
      </c>
      <c r="BD31" s="5">
        <f t="shared" ref="BD31" si="19">BC31*(1+BC32)</f>
        <v>0</v>
      </c>
      <c r="BE31" s="5">
        <f t="shared" ref="BE31" si="20">BD31*(1+BD32)</f>
        <v>0</v>
      </c>
      <c r="BF31" s="5">
        <f t="shared" ref="BF31" si="21">BE31*(1+BE32)</f>
        <v>0</v>
      </c>
      <c r="BG31" s="5">
        <f t="shared" ref="BG31" si="22">BF31*(1+BF32)</f>
        <v>0</v>
      </c>
      <c r="BH31" s="5">
        <f t="shared" ref="BH31" si="23">BG31*(1+BG32)</f>
        <v>0</v>
      </c>
      <c r="BI31" s="5">
        <f t="shared" ref="BI31" si="24">BH31*(1+BH32)</f>
        <v>0</v>
      </c>
    </row>
    <row r="32" spans="1:61" hidden="1" x14ac:dyDescent="0.25"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  <c r="AG32" s="18">
        <v>0</v>
      </c>
      <c r="AH32" s="18">
        <v>0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18">
        <v>0</v>
      </c>
      <c r="AO32" s="18">
        <v>0</v>
      </c>
      <c r="AP32" s="18">
        <v>0</v>
      </c>
      <c r="AQ32" s="18">
        <v>0</v>
      </c>
      <c r="AR32" s="18">
        <v>0</v>
      </c>
      <c r="AS32" s="18">
        <v>0</v>
      </c>
      <c r="AT32" s="18">
        <v>0</v>
      </c>
      <c r="AU32" s="18">
        <v>0</v>
      </c>
      <c r="AV32" s="18">
        <v>0</v>
      </c>
      <c r="AW32" s="18">
        <v>0</v>
      </c>
      <c r="AX32" s="18">
        <v>0</v>
      </c>
      <c r="AY32" s="18">
        <v>0</v>
      </c>
      <c r="AZ32" s="18">
        <v>0</v>
      </c>
      <c r="BA32" s="18">
        <v>0</v>
      </c>
      <c r="BB32" s="18">
        <v>0</v>
      </c>
      <c r="BC32" s="18">
        <v>0</v>
      </c>
      <c r="BD32" s="18">
        <v>0</v>
      </c>
      <c r="BE32" s="18">
        <v>0</v>
      </c>
      <c r="BF32" s="18">
        <v>0</v>
      </c>
      <c r="BG32" s="18">
        <v>0</v>
      </c>
      <c r="BH32" s="18">
        <v>0</v>
      </c>
      <c r="BI32" s="18">
        <v>0</v>
      </c>
    </row>
    <row r="34" spans="1:89" s="47" customFormat="1" x14ac:dyDescent="0.25">
      <c r="A34" s="54" t="s">
        <v>68</v>
      </c>
      <c r="B34" s="55">
        <f>RevenueModule!B74</f>
        <v>0</v>
      </c>
      <c r="C34" s="55">
        <f>RevenueModule!C74</f>
        <v>0</v>
      </c>
      <c r="D34" s="55">
        <f>RevenueModule!D74</f>
        <v>0</v>
      </c>
      <c r="E34" s="55">
        <f>RevenueModule!E74</f>
        <v>16580.184638621115</v>
      </c>
      <c r="F34" s="55">
        <f>RevenueModule!F74</f>
        <v>16621.205585524356</v>
      </c>
      <c r="G34" s="55">
        <f>RevenueModule!G74</f>
        <v>16663.544223152647</v>
      </c>
      <c r="H34" s="55">
        <f>RevenueModule!H74</f>
        <v>16707.258544066921</v>
      </c>
      <c r="I34" s="55">
        <f>RevenueModule!I74</f>
        <v>16752.409380718054</v>
      </c>
      <c r="J34" s="55">
        <f>RevenueModule!J74</f>
        <v>16799.060548259207</v>
      </c>
      <c r="K34" s="55">
        <f>RevenueModule!K74</f>
        <v>16847.278994599423</v>
      </c>
      <c r="L34" s="55">
        <f>RevenueModule!L74</f>
        <v>16897.134958067334</v>
      </c>
      <c r="M34" s="55">
        <f>RevenueModule!M74</f>
        <v>16948.702133072722</v>
      </c>
      <c r="N34" s="55">
        <f>RevenueModule!N74</f>
        <v>17002.057844173571</v>
      </c>
      <c r="O34" s="55">
        <f>RevenueModule!O74</f>
        <v>17229.579019168621</v>
      </c>
      <c r="P34" s="55">
        <f>RevenueModule!P74</f>
        <v>17461.95636192643</v>
      </c>
      <c r="Q34" s="55">
        <f>RevenueModule!Q74</f>
        <v>17699.376994342278</v>
      </c>
      <c r="R34" s="55">
        <f>RevenueModule!R74</f>
        <v>17942.037987538602</v>
      </c>
      <c r="S34" s="55">
        <f>RevenueModule!S74</f>
        <v>18190.14694789112</v>
      </c>
      <c r="T34" s="55">
        <f>RevenueModule!T74</f>
        <v>18443.922638601653</v>
      </c>
      <c r="U34" s="55">
        <f>RevenueModule!U74</f>
        <v>18703.59563899551</v>
      </c>
      <c r="V34" s="55">
        <f>RevenueModule!V74</f>
        <v>18969.409043855649</v>
      </c>
      <c r="W34" s="55">
        <f>RevenueModule!W74</f>
        <v>19241.619205247949</v>
      </c>
      <c r="X34" s="55">
        <f>RevenueModule!X74</f>
        <v>19520.496519443361</v>
      </c>
      <c r="Y34" s="55">
        <f>RevenueModule!Y74</f>
        <v>19806.326261703114</v>
      </c>
      <c r="Z34" s="55">
        <f>RevenueModule!Z74</f>
        <v>20099.40947186367</v>
      </c>
      <c r="AA34" s="55">
        <f>RevenueModule!AA74</f>
        <v>20400.063893839171</v>
      </c>
      <c r="AB34" s="55">
        <f>RevenueModule!AB74</f>
        <v>20708.62497235131</v>
      </c>
      <c r="AC34" s="55">
        <f>RevenueModule!AC74</f>
        <v>21025.446910400693</v>
      </c>
      <c r="AD34" s="55">
        <f>RevenueModule!AD74</f>
        <v>21350.903791210483</v>
      </c>
      <c r="AE34" s="55">
        <f>RevenueModule!AE74</f>
        <v>21685.390768603273</v>
      </c>
      <c r="AF34" s="55">
        <f>RevenueModule!AF74</f>
        <v>22029.325330016654</v>
      </c>
      <c r="AG34" s="55">
        <f>RevenueModule!AG74</f>
        <v>22383.148636622333</v>
      </c>
      <c r="AH34" s="55">
        <f>RevenueModule!AH74</f>
        <v>22747.326945289449</v>
      </c>
      <c r="AI34" s="55">
        <f>RevenueModule!AI74</f>
        <v>23122.353117425348</v>
      </c>
      <c r="AJ34" s="55">
        <f>RevenueModule!AJ74</f>
        <v>23508.748220037945</v>
      </c>
      <c r="AK34" s="55">
        <f>RevenueModule!AK74</f>
        <v>23907.063224693979</v>
      </c>
      <c r="AL34" s="55">
        <f>RevenueModule!AL74</f>
        <v>24317.880810397957</v>
      </c>
      <c r="AM34" s="55">
        <f>RevenueModule!AM74</f>
        <v>24741.817276788948</v>
      </c>
      <c r="AN34" s="55">
        <f>RevenueModule!AN74</f>
        <v>25179.524574447936</v>
      </c>
      <c r="AO34" s="55">
        <f>RevenueModule!AO74</f>
        <v>25631.692459528153</v>
      </c>
      <c r="AP34" s="55">
        <f>RevenueModule!AP74</f>
        <v>26099.050780366892</v>
      </c>
      <c r="AQ34" s="55">
        <f>RevenueModule!AQ74</f>
        <v>26582.371904211326</v>
      </c>
      <c r="AR34" s="55">
        <f>RevenueModule!AR74</f>
        <v>27082.473292693394</v>
      </c>
      <c r="AS34" s="55">
        <f>RevenueModule!AS74</f>
        <v>27600.220235223496</v>
      </c>
      <c r="AT34" s="55">
        <f>RevenueModule!AT74</f>
        <v>28136.528750040448</v>
      </c>
      <c r="AU34" s="55">
        <f>RevenueModule!AU74</f>
        <v>28692.368663257341</v>
      </c>
      <c r="AV34" s="55">
        <f>RevenueModule!AV74</f>
        <v>29268.766876883896</v>
      </c>
      <c r="AW34" s="55">
        <f>RevenueModule!AW74</f>
        <v>29866.810837485307</v>
      </c>
      <c r="AX34" s="55">
        <f>RevenueModule!AX74</f>
        <v>30487.652217860366</v>
      </c>
      <c r="AY34" s="55">
        <f>RevenueModule!AY74</f>
        <v>31132.510824888552</v>
      </c>
      <c r="AZ34" s="55">
        <f>RevenueModule!AZ74</f>
        <v>31802.678747510901</v>
      </c>
      <c r="BA34" s="55">
        <f>RevenueModule!BA74</f>
        <v>32499.524759674961</v>
      </c>
      <c r="BB34" s="55">
        <f>RevenueModule!BB74</f>
        <v>33224.49899399381</v>
      </c>
      <c r="BC34" s="55">
        <f>RevenueModule!BC74</f>
        <v>33979.137902845636</v>
      </c>
      <c r="BD34" s="55">
        <f>RevenueModule!BD74</f>
        <v>34765.069524678125</v>
      </c>
      <c r="BE34" s="55">
        <f>RevenueModule!BE74</f>
        <v>35584.019074383788</v>
      </c>
      <c r="BF34" s="55">
        <f>RevenueModule!BF74</f>
        <v>36437.814877783574</v>
      </c>
      <c r="BG34" s="55">
        <f>RevenueModule!BG74</f>
        <v>37328.394671499074</v>
      </c>
      <c r="BH34" s="55">
        <f>RevenueModule!BH74</f>
        <v>38257.812290815986</v>
      </c>
      <c r="BI34" s="55">
        <f>RevenueModule!BI74</f>
        <v>39228.24476954378</v>
      </c>
    </row>
    <row r="36" spans="1:89" s="47" customFormat="1" x14ac:dyDescent="0.25">
      <c r="A36" s="54" t="s">
        <v>67</v>
      </c>
      <c r="B36" s="55">
        <f>RevenueModule!B83</f>
        <v>0</v>
      </c>
      <c r="C36" s="55">
        <f>RevenueModule!C83</f>
        <v>0</v>
      </c>
      <c r="D36" s="55">
        <f>RevenueModule!D83</f>
        <v>0</v>
      </c>
      <c r="E36" s="55">
        <f>RevenueModule!E83</f>
        <v>314626.7243854978</v>
      </c>
      <c r="F36" s="55">
        <f>RevenueModule!F83</f>
        <v>315415.11300692748</v>
      </c>
      <c r="G36" s="55">
        <f>RevenueModule!G83</f>
        <v>316229.46193409886</v>
      </c>
      <c r="H36" s="55">
        <f>RevenueModule!H83</f>
        <v>317070.89215669123</v>
      </c>
      <c r="I36" s="55">
        <f>RevenueModule!I83</f>
        <v>317940.57855581888</v>
      </c>
      <c r="J36" s="55">
        <f>RevenueModule!J83</f>
        <v>318839.75257932651</v>
      </c>
      <c r="K36" s="55">
        <f>RevenueModule!K83</f>
        <v>319769.70505146979</v>
      </c>
      <c r="L36" s="55">
        <f>RevenueModule!L83</f>
        <v>320731.78912377695</v>
      </c>
      <c r="M36" s="55">
        <f>RevenueModule!M83</f>
        <v>321727.42337423359</v>
      </c>
      <c r="N36" s="55">
        <f>RevenueModule!N83</f>
        <v>322758.09506230085</v>
      </c>
      <c r="O36" s="55">
        <f>RevenueModule!O83</f>
        <v>326758.77911822341</v>
      </c>
      <c r="P36" s="55">
        <f>RevenueModule!P83</f>
        <v>330842.36753658717</v>
      </c>
      <c r="Q36" s="55">
        <f>RevenueModule!Q83</f>
        <v>335012.08471751789</v>
      </c>
      <c r="R36" s="55">
        <f>RevenueModule!R83</f>
        <v>339271.3257388827</v>
      </c>
      <c r="S36" s="55">
        <f>RevenueModule!S83</f>
        <v>343623.66622557031</v>
      </c>
      <c r="T36" s="55">
        <f>RevenueModule!T83</f>
        <v>348072.87280295097</v>
      </c>
      <c r="U36" s="55">
        <f>RevenueModule!U83</f>
        <v>352622.91416934406</v>
      </c>
      <c r="V36" s="55">
        <f>RevenueModule!V83</f>
        <v>357277.97282440506</v>
      </c>
      <c r="W36" s="55">
        <f>RevenueModule!W83</f>
        <v>362042.4574925481</v>
      </c>
      <c r="X36" s="55">
        <f>RevenueModule!X83</f>
        <v>366921.01628286374</v>
      </c>
      <c r="Y36" s="55">
        <f>RevenueModule!Y83</f>
        <v>371918.55062946735</v>
      </c>
      <c r="Z36" s="55">
        <f>RevenueModule!Z83</f>
        <v>377040.2300588449</v>
      </c>
      <c r="AA36" s="55">
        <f>RevenueModule!AA83</f>
        <v>382291.507833549</v>
      </c>
      <c r="AB36" s="55">
        <f>RevenueModule!AB83</f>
        <v>387678.13752454706</v>
      </c>
      <c r="AC36" s="55">
        <f>RevenueModule!AC83</f>
        <v>393206.1905676598</v>
      </c>
      <c r="AD36" s="55">
        <f>RevenueModule!AD83</f>
        <v>398882.07486283954</v>
      </c>
      <c r="AE36" s="55">
        <f>RevenueModule!AE83</f>
        <v>404712.55447855731</v>
      </c>
      <c r="AF36" s="55">
        <f>RevenueModule!AF83</f>
        <v>410704.77052729658</v>
      </c>
      <c r="AG36" s="55">
        <f>RevenueModule!AG83</f>
        <v>416866.26328209869</v>
      </c>
      <c r="AH36" s="55">
        <f>RevenueModule!AH83</f>
        <v>423204.99560829473</v>
      </c>
      <c r="AI36" s="55">
        <f>RevenueModule!AI83</f>
        <v>429729.37778899941</v>
      </c>
      <c r="AJ36" s="55">
        <f>RevenueModule!AJ83</f>
        <v>436448.29382764269</v>
      </c>
      <c r="AK36" s="55">
        <f>RevenueModule!AK83</f>
        <v>443371.12931580923</v>
      </c>
      <c r="AL36" s="55">
        <f>RevenueModule!AL83</f>
        <v>450507.8009599357</v>
      </c>
      <c r="AM36" s="55">
        <f>RevenueModule!AM83</f>
        <v>457868.78786602558</v>
      </c>
      <c r="AN36" s="55">
        <f>RevenueModule!AN83</f>
        <v>465465.16468747729</v>
      </c>
      <c r="AO36" s="55">
        <f>RevenueModule!AO83</f>
        <v>473308.6367474221</v>
      </c>
      <c r="AP36" s="55">
        <f>RevenueModule!AP83</f>
        <v>481411.57725363702</v>
      </c>
      <c r="AQ36" s="55">
        <f>RevenueModule!AQ83</f>
        <v>489787.06673118402</v>
      </c>
      <c r="AR36" s="55">
        <f>RevenueModule!AR83</f>
        <v>498448.93480541417</v>
      </c>
      <c r="AS36" s="55">
        <f>RevenueModule!AS83</f>
        <v>507411.80447593343</v>
      </c>
      <c r="AT36" s="55">
        <f>RevenueModule!AT83</f>
        <v>516691.13903055887</v>
      </c>
      <c r="AU36" s="55">
        <f>RevenueModule!AU83</f>
        <v>526303.29175721528</v>
      </c>
      <c r="AV36" s="55">
        <f>RevenueModule!AV83</f>
        <v>536265.55862120748</v>
      </c>
      <c r="AW36" s="55">
        <f>RevenueModule!AW83</f>
        <v>546596.23408533155</v>
      </c>
      <c r="AX36" s="55">
        <f>RevenueModule!AX83</f>
        <v>557314.67026093951</v>
      </c>
      <c r="AY36" s="55">
        <f>RevenueModule!AY83</f>
        <v>568441.33958934911</v>
      </c>
      <c r="AZ36" s="55">
        <f>RevenueModule!AZ83</f>
        <v>579997.90126495389</v>
      </c>
      <c r="BA36" s="55">
        <f>RevenueModule!BA83</f>
        <v>592007.27162406314</v>
      </c>
      <c r="BB36" s="55">
        <f>RevenueModule!BB83</f>
        <v>604493.69873695006</v>
      </c>
      <c r="BC36" s="55">
        <f>RevenueModule!BC83</f>
        <v>617482.84145482548</v>
      </c>
      <c r="BD36" s="55">
        <f>RevenueModule!BD83</f>
        <v>631001.85317857249</v>
      </c>
      <c r="BE36" s="55">
        <f>RevenueModule!BE83</f>
        <v>645079.4706320751</v>
      </c>
      <c r="BF36" s="55">
        <f>RevenueModule!BF83</f>
        <v>659746.10793997056</v>
      </c>
      <c r="BG36" s="55">
        <f>RevenueModule!BG83</f>
        <v>675033.95632763265</v>
      </c>
      <c r="BH36" s="55">
        <f>RevenueModule!BH83</f>
        <v>690977.08978029003</v>
      </c>
      <c r="BI36" s="55">
        <f>RevenueModule!BI83</f>
        <v>707611.57701840193</v>
      </c>
    </row>
    <row r="39" spans="1:89" x14ac:dyDescent="0.25">
      <c r="B39">
        <v>1</v>
      </c>
      <c r="C39">
        <v>2</v>
      </c>
      <c r="D39">
        <v>3</v>
      </c>
      <c r="E39">
        <v>4</v>
      </c>
      <c r="F39">
        <v>5</v>
      </c>
      <c r="G39">
        <v>6</v>
      </c>
      <c r="H39">
        <v>7</v>
      </c>
      <c r="I39">
        <v>8</v>
      </c>
      <c r="J39">
        <v>9</v>
      </c>
      <c r="K39">
        <v>10</v>
      </c>
      <c r="L39">
        <v>11</v>
      </c>
      <c r="M39">
        <v>12</v>
      </c>
      <c r="N39">
        <v>13</v>
      </c>
      <c r="O39">
        <v>14</v>
      </c>
      <c r="P39">
        <v>15</v>
      </c>
      <c r="Q39">
        <v>16</v>
      </c>
      <c r="R39">
        <v>17</v>
      </c>
      <c r="S39">
        <v>18</v>
      </c>
      <c r="T39">
        <v>19</v>
      </c>
      <c r="U39">
        <v>20</v>
      </c>
      <c r="V39">
        <v>21</v>
      </c>
      <c r="W39">
        <v>22</v>
      </c>
      <c r="X39">
        <v>23</v>
      </c>
      <c r="Y39">
        <v>24</v>
      </c>
      <c r="Z39">
        <v>25</v>
      </c>
      <c r="AA39">
        <v>26</v>
      </c>
      <c r="AB39">
        <v>27</v>
      </c>
      <c r="AC39">
        <v>28</v>
      </c>
      <c r="AD39">
        <v>29</v>
      </c>
      <c r="AE39">
        <v>30</v>
      </c>
      <c r="AF39">
        <v>31</v>
      </c>
      <c r="AG39">
        <v>32</v>
      </c>
      <c r="AH39">
        <v>33</v>
      </c>
      <c r="AI39">
        <v>34</v>
      </c>
      <c r="AJ39">
        <v>35</v>
      </c>
      <c r="AK39">
        <v>36</v>
      </c>
      <c r="AL39">
        <v>37</v>
      </c>
      <c r="AM39">
        <v>38</v>
      </c>
      <c r="AN39">
        <v>39</v>
      </c>
      <c r="AO39">
        <v>40</v>
      </c>
      <c r="AP39">
        <v>41</v>
      </c>
      <c r="AQ39">
        <v>42</v>
      </c>
      <c r="AR39">
        <v>43</v>
      </c>
      <c r="AS39">
        <v>44</v>
      </c>
      <c r="AT39">
        <v>45</v>
      </c>
      <c r="AU39">
        <v>46</v>
      </c>
      <c r="AV39">
        <v>47</v>
      </c>
      <c r="AW39">
        <v>48</v>
      </c>
      <c r="AX39">
        <v>49</v>
      </c>
      <c r="AY39">
        <v>50</v>
      </c>
      <c r="AZ39">
        <v>51</v>
      </c>
      <c r="BA39">
        <v>52</v>
      </c>
      <c r="BB39">
        <v>53</v>
      </c>
      <c r="BC39">
        <v>54</v>
      </c>
      <c r="BD39">
        <v>55</v>
      </c>
      <c r="BE39">
        <v>56</v>
      </c>
      <c r="BF39">
        <v>57</v>
      </c>
      <c r="BG39">
        <v>58</v>
      </c>
      <c r="BH39">
        <v>59</v>
      </c>
      <c r="BI39">
        <v>60</v>
      </c>
    </row>
    <row r="40" spans="1:89" x14ac:dyDescent="0.25">
      <c r="A40" t="s">
        <v>18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  <c r="AM40" s="19">
        <v>0</v>
      </c>
      <c r="AN40" s="19">
        <v>0</v>
      </c>
      <c r="AO40" s="19">
        <v>0</v>
      </c>
      <c r="AP40" s="19">
        <v>0</v>
      </c>
      <c r="AQ40" s="19">
        <v>0</v>
      </c>
      <c r="AR40" s="19">
        <v>0</v>
      </c>
      <c r="AS40" s="19">
        <v>0</v>
      </c>
      <c r="AT40" s="19">
        <v>0</v>
      </c>
      <c r="AU40" s="19">
        <v>0</v>
      </c>
      <c r="AV40" s="19">
        <v>0</v>
      </c>
      <c r="AW40" s="19">
        <v>0</v>
      </c>
      <c r="AX40" s="19">
        <v>0</v>
      </c>
      <c r="AY40" s="19">
        <v>0</v>
      </c>
      <c r="AZ40" s="19">
        <v>0</v>
      </c>
      <c r="BA40" s="19">
        <v>0</v>
      </c>
      <c r="BB40" s="19">
        <v>0</v>
      </c>
      <c r="BC40" s="19">
        <v>0</v>
      </c>
      <c r="BD40" s="19">
        <v>0</v>
      </c>
      <c r="BE40" s="19">
        <v>0</v>
      </c>
      <c r="BF40" s="19">
        <v>0</v>
      </c>
      <c r="BG40" s="19">
        <v>0</v>
      </c>
      <c r="BH40" s="19">
        <v>0</v>
      </c>
      <c r="BI40" s="19">
        <v>0</v>
      </c>
    </row>
    <row r="42" spans="1:89" x14ac:dyDescent="0.25">
      <c r="A42" t="s">
        <v>19</v>
      </c>
      <c r="B42">
        <v>1</v>
      </c>
      <c r="C42">
        <v>2</v>
      </c>
      <c r="D42">
        <v>3</v>
      </c>
      <c r="E42">
        <v>4</v>
      </c>
      <c r="F42">
        <v>5</v>
      </c>
      <c r="G42">
        <v>6</v>
      </c>
      <c r="H42">
        <v>7</v>
      </c>
      <c r="I42">
        <v>8</v>
      </c>
      <c r="J42">
        <v>9</v>
      </c>
      <c r="K42">
        <v>10</v>
      </c>
      <c r="L42">
        <v>11</v>
      </c>
      <c r="M42">
        <v>12</v>
      </c>
      <c r="N42">
        <v>13</v>
      </c>
      <c r="O42">
        <v>14</v>
      </c>
      <c r="P42">
        <v>15</v>
      </c>
      <c r="Q42">
        <v>16</v>
      </c>
      <c r="R42">
        <v>17</v>
      </c>
      <c r="S42">
        <v>18</v>
      </c>
      <c r="T42">
        <v>19</v>
      </c>
      <c r="U42">
        <v>20</v>
      </c>
      <c r="V42">
        <v>21</v>
      </c>
      <c r="W42">
        <v>22</v>
      </c>
      <c r="X42">
        <v>23</v>
      </c>
      <c r="Y42">
        <v>24</v>
      </c>
      <c r="Z42">
        <v>25</v>
      </c>
      <c r="AA42">
        <v>26</v>
      </c>
      <c r="AB42">
        <v>27</v>
      </c>
      <c r="AC42">
        <v>28</v>
      </c>
      <c r="AD42">
        <v>29</v>
      </c>
      <c r="AE42">
        <v>30</v>
      </c>
      <c r="AF42">
        <v>31</v>
      </c>
      <c r="AG42">
        <v>32</v>
      </c>
      <c r="AH42">
        <v>33</v>
      </c>
      <c r="AI42">
        <v>34</v>
      </c>
      <c r="AJ42">
        <v>35</v>
      </c>
      <c r="AK42">
        <v>36</v>
      </c>
      <c r="AL42">
        <v>37</v>
      </c>
      <c r="AM42">
        <v>38</v>
      </c>
      <c r="AN42">
        <v>39</v>
      </c>
      <c r="AO42">
        <v>40</v>
      </c>
      <c r="AP42">
        <v>41</v>
      </c>
      <c r="AQ42">
        <v>42</v>
      </c>
      <c r="AR42">
        <v>43</v>
      </c>
      <c r="AS42">
        <v>44</v>
      </c>
      <c r="AT42">
        <v>45</v>
      </c>
      <c r="AU42">
        <v>46</v>
      </c>
      <c r="AV42">
        <v>47</v>
      </c>
      <c r="AW42">
        <v>48</v>
      </c>
      <c r="AX42">
        <v>49</v>
      </c>
      <c r="AY42">
        <v>50</v>
      </c>
      <c r="AZ42">
        <v>51</v>
      </c>
      <c r="BA42">
        <v>52</v>
      </c>
      <c r="BB42">
        <v>53</v>
      </c>
      <c r="BC42">
        <v>54</v>
      </c>
      <c r="BD42">
        <v>55</v>
      </c>
      <c r="BE42">
        <v>56</v>
      </c>
      <c r="BF42">
        <v>57</v>
      </c>
      <c r="BG42">
        <v>58</v>
      </c>
      <c r="BH42">
        <v>59</v>
      </c>
      <c r="BI42">
        <v>60</v>
      </c>
    </row>
    <row r="43" spans="1:89" x14ac:dyDescent="0.25">
      <c r="A43" t="s">
        <v>139</v>
      </c>
      <c r="B43" s="55">
        <f>1000+B44*B79</f>
        <v>1000</v>
      </c>
      <c r="C43" s="55">
        <f t="shared" ref="C43:BI43" si="25">1000+C44*C79</f>
        <v>1000</v>
      </c>
      <c r="D43" s="55">
        <f t="shared" si="25"/>
        <v>1000</v>
      </c>
      <c r="E43" s="55">
        <f t="shared" si="25"/>
        <v>27474.70274416987</v>
      </c>
      <c r="F43" s="55">
        <f t="shared" si="25"/>
        <v>27811.553838110511</v>
      </c>
      <c r="G43" s="55">
        <f t="shared" si="25"/>
        <v>28154.722143904841</v>
      </c>
      <c r="H43" s="55">
        <f t="shared" si="25"/>
        <v>28504.420579562542</v>
      </c>
      <c r="I43" s="55">
        <f t="shared" si="25"/>
        <v>28860.872722276083</v>
      </c>
      <c r="J43" s="55">
        <f t="shared" si="25"/>
        <v>29224.31342544944</v>
      </c>
      <c r="K43" s="55">
        <f t="shared" si="25"/>
        <v>29594.989473074951</v>
      </c>
      <c r="L43" s="55">
        <f t="shared" si="25"/>
        <v>29973.160273754842</v>
      </c>
      <c r="M43" s="55">
        <f t="shared" si="25"/>
        <v>30359.098596806576</v>
      </c>
      <c r="N43" s="55">
        <f t="shared" si="25"/>
        <v>30753.09135304243</v>
      </c>
      <c r="O43" s="55">
        <f t="shared" si="25"/>
        <v>31155.440422974028</v>
      </c>
      <c r="P43" s="55">
        <f t="shared" si="25"/>
        <v>31566.463535363629</v>
      </c>
      <c r="Q43" s="55">
        <f t="shared" si="25"/>
        <v>31986.49519922501</v>
      </c>
      <c r="R43" s="55">
        <f t="shared" si="25"/>
        <v>32415.88769256966</v>
      </c>
      <c r="S43" s="55">
        <f t="shared" si="25"/>
        <v>32855.012111398486</v>
      </c>
      <c r="T43" s="55">
        <f t="shared" si="25"/>
        <v>33304.25948265694</v>
      </c>
      <c r="U43" s="55">
        <f t="shared" si="25"/>
        <v>33764.041945102072</v>
      </c>
      <c r="V43" s="55">
        <f t="shared" si="25"/>
        <v>34234.794002276321</v>
      </c>
      <c r="W43" s="55">
        <f t="shared" si="25"/>
        <v>34716.973852042705</v>
      </c>
      <c r="X43" s="55">
        <f t="shared" si="25"/>
        <v>35211.064797414059</v>
      </c>
      <c r="Y43" s="55">
        <f t="shared" si="25"/>
        <v>35717.576743703088</v>
      </c>
      <c r="Z43" s="55">
        <f t="shared" si="25"/>
        <v>36237.047787332878</v>
      </c>
      <c r="AA43" s="55">
        <f t="shared" si="25"/>
        <v>36770.045901980389</v>
      </c>
      <c r="AB43" s="55">
        <f t="shared" si="25"/>
        <v>37317.170728078352</v>
      </c>
      <c r="AC43" s="55">
        <f t="shared" si="25"/>
        <v>37879.055472076965</v>
      </c>
      <c r="AD43" s="55">
        <f t="shared" si="25"/>
        <v>38456.368922265487</v>
      </c>
      <c r="AE43" s="55">
        <f t="shared" si="25"/>
        <v>39049.817588377751</v>
      </c>
      <c r="AF43" s="55">
        <f t="shared" si="25"/>
        <v>39660.147972656916</v>
      </c>
      <c r="AG43" s="55">
        <f t="shared" si="25"/>
        <v>40288.148980532875</v>
      </c>
      <c r="AH43" s="55">
        <f t="shared" si="25"/>
        <v>40934.654479575322</v>
      </c>
      <c r="AI43" s="55">
        <f t="shared" si="25"/>
        <v>41600.546015926055</v>
      </c>
      <c r="AJ43" s="55">
        <f t="shared" si="25"/>
        <v>42286.755697989196</v>
      </c>
      <c r="AK43" s="55">
        <f t="shared" si="25"/>
        <v>42994.26925776893</v>
      </c>
      <c r="AL43" s="55">
        <f t="shared" si="25"/>
        <v>43724.12930089391</v>
      </c>
      <c r="AM43" s="55">
        <f t="shared" si="25"/>
        <v>44477.438757057404</v>
      </c>
      <c r="AN43" s="55">
        <f t="shared" si="25"/>
        <v>45255.364543336495</v>
      </c>
      <c r="AO43" s="55">
        <f t="shared" si="25"/>
        <v>46059.141453633049</v>
      </c>
      <c r="AP43" s="55">
        <f t="shared" si="25"/>
        <v>46890.076288307835</v>
      </c>
      <c r="AQ43" s="55">
        <f t="shared" si="25"/>
        <v>47749.552238961325</v>
      </c>
      <c r="AR43" s="55">
        <f t="shared" si="25"/>
        <v>48639.033544250109</v>
      </c>
      <c r="AS43" s="55">
        <f t="shared" si="25"/>
        <v>49560.070433623951</v>
      </c>
      <c r="AT43" s="55">
        <f t="shared" si="25"/>
        <v>50514.304376927495</v>
      </c>
      <c r="AU43" s="55">
        <f t="shared" si="25"/>
        <v>51503.473658934556</v>
      </c>
      <c r="AV43" s="55">
        <f t="shared" si="25"/>
        <v>52529.419299080131</v>
      </c>
      <c r="AW43" s="55">
        <f t="shared" si="25"/>
        <v>53594.091337925987</v>
      </c>
      <c r="AX43" s="55">
        <f t="shared" si="25"/>
        <v>54699.555513248299</v>
      </c>
      <c r="AY43" s="55">
        <f t="shared" si="25"/>
        <v>55848.000350072274</v>
      </c>
      <c r="AZ43" s="55">
        <f t="shared" si="25"/>
        <v>57041.74469050741</v>
      </c>
      <c r="BA43" s="55">
        <f t="shared" si="25"/>
        <v>58283.245690860858</v>
      </c>
      <c r="BB43" s="55">
        <f t="shared" si="25"/>
        <v>59575.107315234578</v>
      </c>
      <c r="BC43" s="55">
        <f t="shared" si="25"/>
        <v>60920.089356647579</v>
      </c>
      <c r="BD43" s="55">
        <f t="shared" si="25"/>
        <v>62321.117018678153</v>
      </c>
      <c r="BE43" s="55">
        <f t="shared" si="25"/>
        <v>63781.291092696505</v>
      </c>
      <c r="BF43" s="55">
        <f t="shared" si="25"/>
        <v>65303.898767967039</v>
      </c>
      <c r="BG43" s="55">
        <f t="shared" si="25"/>
        <v>66892.425114246173</v>
      </c>
      <c r="BH43" s="55">
        <f t="shared" si="25"/>
        <v>68550.565278999129</v>
      </c>
      <c r="BI43" s="55">
        <f t="shared" si="25"/>
        <v>70282.237444013008</v>
      </c>
    </row>
    <row r="44" spans="1:89" s="56" customFormat="1" x14ac:dyDescent="0.25">
      <c r="A44" s="59" t="s">
        <v>227</v>
      </c>
      <c r="B44" s="70">
        <v>3.5000000000000003E-2</v>
      </c>
      <c r="C44" s="70">
        <v>3.5000000000000003E-2</v>
      </c>
      <c r="D44" s="70">
        <v>3.5000000000000003E-2</v>
      </c>
      <c r="E44" s="70">
        <v>3.5000000000000003E-2</v>
      </c>
      <c r="F44" s="70">
        <v>3.5000000000000003E-2</v>
      </c>
      <c r="G44" s="70">
        <v>3.5000000000000003E-2</v>
      </c>
      <c r="H44" s="70">
        <v>3.5000000000000003E-2</v>
      </c>
      <c r="I44" s="70">
        <v>3.5000000000000003E-2</v>
      </c>
      <c r="J44" s="70">
        <v>3.5000000000000003E-2</v>
      </c>
      <c r="K44" s="70">
        <v>3.5000000000000003E-2</v>
      </c>
      <c r="L44" s="70">
        <v>3.5000000000000003E-2</v>
      </c>
      <c r="M44" s="70">
        <v>3.5000000000000003E-2</v>
      </c>
      <c r="N44" s="70">
        <v>3.5000000000000003E-2</v>
      </c>
      <c r="O44" s="70">
        <v>3.5000000000000003E-2</v>
      </c>
      <c r="P44" s="70">
        <v>3.5000000000000003E-2</v>
      </c>
      <c r="Q44" s="70">
        <v>3.5000000000000003E-2</v>
      </c>
      <c r="R44" s="70">
        <v>3.5000000000000003E-2</v>
      </c>
      <c r="S44" s="70">
        <v>3.5000000000000003E-2</v>
      </c>
      <c r="T44" s="70">
        <v>3.5000000000000003E-2</v>
      </c>
      <c r="U44" s="70">
        <v>3.5000000000000003E-2</v>
      </c>
      <c r="V44" s="70">
        <v>3.5000000000000003E-2</v>
      </c>
      <c r="W44" s="70">
        <v>3.5000000000000003E-2</v>
      </c>
      <c r="X44" s="70">
        <v>3.5000000000000003E-2</v>
      </c>
      <c r="Y44" s="70">
        <v>3.5000000000000003E-2</v>
      </c>
      <c r="Z44" s="70">
        <v>3.5000000000000003E-2</v>
      </c>
      <c r="AA44" s="70">
        <v>3.5000000000000003E-2</v>
      </c>
      <c r="AB44" s="70">
        <v>3.5000000000000003E-2</v>
      </c>
      <c r="AC44" s="70">
        <v>3.5000000000000003E-2</v>
      </c>
      <c r="AD44" s="70">
        <v>3.5000000000000003E-2</v>
      </c>
      <c r="AE44" s="70">
        <v>3.5000000000000003E-2</v>
      </c>
      <c r="AF44" s="70">
        <v>3.5000000000000003E-2</v>
      </c>
      <c r="AG44" s="70">
        <v>3.5000000000000003E-2</v>
      </c>
      <c r="AH44" s="70">
        <v>3.5000000000000003E-2</v>
      </c>
      <c r="AI44" s="70">
        <v>3.5000000000000003E-2</v>
      </c>
      <c r="AJ44" s="70">
        <v>3.5000000000000003E-2</v>
      </c>
      <c r="AK44" s="70">
        <v>3.5000000000000003E-2</v>
      </c>
      <c r="AL44" s="70">
        <v>3.5000000000000003E-2</v>
      </c>
      <c r="AM44" s="70">
        <v>3.5000000000000003E-2</v>
      </c>
      <c r="AN44" s="70">
        <v>3.5000000000000003E-2</v>
      </c>
      <c r="AO44" s="70">
        <v>3.5000000000000003E-2</v>
      </c>
      <c r="AP44" s="70">
        <v>3.5000000000000003E-2</v>
      </c>
      <c r="AQ44" s="70">
        <v>3.5000000000000003E-2</v>
      </c>
      <c r="AR44" s="70">
        <v>3.5000000000000003E-2</v>
      </c>
      <c r="AS44" s="70">
        <v>3.5000000000000003E-2</v>
      </c>
      <c r="AT44" s="70">
        <v>3.5000000000000003E-2</v>
      </c>
      <c r="AU44" s="70">
        <v>3.5000000000000003E-2</v>
      </c>
      <c r="AV44" s="70">
        <v>3.5000000000000003E-2</v>
      </c>
      <c r="AW44" s="70">
        <v>3.5000000000000003E-2</v>
      </c>
      <c r="AX44" s="70">
        <v>3.5000000000000003E-2</v>
      </c>
      <c r="AY44" s="70">
        <v>3.5000000000000003E-2</v>
      </c>
      <c r="AZ44" s="70">
        <v>3.5000000000000003E-2</v>
      </c>
      <c r="BA44" s="70">
        <v>3.5000000000000003E-2</v>
      </c>
      <c r="BB44" s="70">
        <v>3.5000000000000003E-2</v>
      </c>
      <c r="BC44" s="70">
        <v>3.5000000000000003E-2</v>
      </c>
      <c r="BD44" s="70">
        <v>3.5000000000000003E-2</v>
      </c>
      <c r="BE44" s="70">
        <v>3.5000000000000003E-2</v>
      </c>
      <c r="BF44" s="70">
        <v>3.5000000000000003E-2</v>
      </c>
      <c r="BG44" s="70">
        <v>3.5000000000000003E-2</v>
      </c>
      <c r="BH44" s="70">
        <v>3.5000000000000003E-2</v>
      </c>
      <c r="BI44" s="70">
        <v>3.5000000000000003E-2</v>
      </c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</row>
    <row r="45" spans="1:89" s="47" customFormat="1" x14ac:dyDescent="0.25">
      <c r="A45" s="47" t="s">
        <v>148</v>
      </c>
      <c r="B45" s="55">
        <f>RevenueModule!B4</f>
        <v>0</v>
      </c>
      <c r="C45" s="55">
        <f>RevenueModule!C4</f>
        <v>0</v>
      </c>
      <c r="D45" s="55">
        <f>RevenueModule!D4</f>
        <v>0</v>
      </c>
      <c r="E45" s="55">
        <f>RevenueModule!E4</f>
        <v>10000</v>
      </c>
      <c r="F45" s="55">
        <f>RevenueModule!F4</f>
        <v>10100</v>
      </c>
      <c r="G45" s="55">
        <f>RevenueModule!G4</f>
        <v>10201</v>
      </c>
      <c r="H45" s="55">
        <f>RevenueModule!H4</f>
        <v>10303.01</v>
      </c>
      <c r="I45" s="55">
        <f>RevenueModule!I4</f>
        <v>10406.0401</v>
      </c>
      <c r="J45" s="55">
        <f>RevenueModule!J4</f>
        <v>10510.100501000001</v>
      </c>
      <c r="K45" s="55">
        <f>RevenueModule!K4</f>
        <v>10615.20150601</v>
      </c>
      <c r="L45" s="55">
        <f>RevenueModule!L4</f>
        <v>10721.353521070101</v>
      </c>
      <c r="M45" s="55">
        <f>RevenueModule!M4</f>
        <v>10828.567056280803</v>
      </c>
      <c r="N45" s="55">
        <f>RevenueModule!N4</f>
        <v>10936.85272684361</v>
      </c>
      <c r="O45" s="55">
        <f>RevenueModule!O4</f>
        <v>11046.221254112046</v>
      </c>
      <c r="P45" s="55">
        <f>RevenueModule!P4</f>
        <v>11156.683466653167</v>
      </c>
      <c r="Q45" s="55">
        <f>RevenueModule!Q4</f>
        <v>11268.250301319698</v>
      </c>
      <c r="R45" s="55">
        <f>RevenueModule!R4</f>
        <v>11380.932804332895</v>
      </c>
      <c r="S45" s="55">
        <f>RevenueModule!S4</f>
        <v>11494.742132376225</v>
      </c>
      <c r="T45" s="55">
        <f>RevenueModule!T4</f>
        <v>11609.689553699987</v>
      </c>
      <c r="U45" s="55">
        <f>RevenueModule!U4</f>
        <v>11725.786449236988</v>
      </c>
      <c r="V45" s="55">
        <f>RevenueModule!V4</f>
        <v>11843.044313729359</v>
      </c>
      <c r="W45" s="55">
        <f>RevenueModule!W4</f>
        <v>11961.474756866652</v>
      </c>
      <c r="X45" s="55">
        <f>RevenueModule!X4</f>
        <v>12081.089504435318</v>
      </c>
      <c r="Y45" s="55">
        <f>RevenueModule!Y4</f>
        <v>12201.900399479671</v>
      </c>
      <c r="Z45" s="55">
        <f>RevenueModule!Z4</f>
        <v>12323.919403474469</v>
      </c>
      <c r="AA45" s="55">
        <f>RevenueModule!AA4</f>
        <v>12447.158597509213</v>
      </c>
      <c r="AB45" s="55">
        <f>RevenueModule!AB4</f>
        <v>12571.630183484305</v>
      </c>
      <c r="AC45" s="55">
        <f>RevenueModule!AC4</f>
        <v>12697.346485319149</v>
      </c>
      <c r="AD45" s="55">
        <f>RevenueModule!AD4</f>
        <v>12824.319950172341</v>
      </c>
      <c r="AE45" s="55">
        <f>RevenueModule!AE4</f>
        <v>12952.563149674064</v>
      </c>
      <c r="AF45" s="55">
        <f>RevenueModule!AF4</f>
        <v>13082.088781170805</v>
      </c>
      <c r="AG45" s="55">
        <f>RevenueModule!AG4</f>
        <v>13212.909668982513</v>
      </c>
      <c r="AH45" s="55">
        <f>RevenueModule!AH4</f>
        <v>13345.038765672338</v>
      </c>
      <c r="AI45" s="55">
        <f>RevenueModule!AI4</f>
        <v>13478.489153329061</v>
      </c>
      <c r="AJ45" s="55">
        <f>RevenueModule!AJ4</f>
        <v>13613.274044862352</v>
      </c>
      <c r="AK45" s="55">
        <f>RevenueModule!AK4</f>
        <v>13749.406785310975</v>
      </c>
      <c r="AL45" s="55">
        <f>RevenueModule!AL4</f>
        <v>13886.900853164085</v>
      </c>
      <c r="AM45" s="55">
        <f>RevenueModule!AM4</f>
        <v>14025.769861695726</v>
      </c>
      <c r="AN45" s="55">
        <f>RevenueModule!AN4</f>
        <v>14166.027560312683</v>
      </c>
      <c r="AO45" s="55">
        <f>RevenueModule!AO4</f>
        <v>14307.687835915809</v>
      </c>
      <c r="AP45" s="55">
        <f>RevenueModule!AP4</f>
        <v>14450.764714274967</v>
      </c>
      <c r="AQ45" s="55">
        <f>RevenueModule!AQ4</f>
        <v>14595.272361417716</v>
      </c>
      <c r="AR45" s="55">
        <f>RevenueModule!AR4</f>
        <v>14741.225085031892</v>
      </c>
      <c r="AS45" s="55">
        <f>RevenueModule!AS4</f>
        <v>14888.637335882211</v>
      </c>
      <c r="AT45" s="55">
        <f>RevenueModule!AT4</f>
        <v>15037.523709241033</v>
      </c>
      <c r="AU45" s="55">
        <f>RevenueModule!AU4</f>
        <v>15187.898946333444</v>
      </c>
      <c r="AV45" s="55">
        <f>RevenueModule!AV4</f>
        <v>15339.777935796777</v>
      </c>
      <c r="AW45" s="55">
        <f>RevenueModule!AW4</f>
        <v>15493.175715154744</v>
      </c>
      <c r="AX45" s="55">
        <f>RevenueModule!AX4</f>
        <v>15648.107472306292</v>
      </c>
      <c r="AY45" s="55">
        <f>RevenueModule!AY4</f>
        <v>15804.588547029354</v>
      </c>
      <c r="AZ45" s="55">
        <f>RevenueModule!AZ4</f>
        <v>15962.634432499648</v>
      </c>
      <c r="BA45" s="55">
        <f>RevenueModule!BA4</f>
        <v>16122.260776824645</v>
      </c>
      <c r="BB45" s="55">
        <f>RevenueModule!BB4</f>
        <v>16283.483384592892</v>
      </c>
      <c r="BC45" s="55">
        <f>RevenueModule!BC4</f>
        <v>16446.318218438821</v>
      </c>
      <c r="BD45" s="55">
        <f>RevenueModule!BD4</f>
        <v>16610.781400623207</v>
      </c>
      <c r="BE45" s="55">
        <f>RevenueModule!BE4</f>
        <v>16776.889214629438</v>
      </c>
      <c r="BF45" s="55">
        <f>RevenueModule!BF4</f>
        <v>16944.658106775732</v>
      </c>
      <c r="BG45" s="55">
        <f>RevenueModule!BG4</f>
        <v>17114.10468784349</v>
      </c>
      <c r="BH45" s="55">
        <f>RevenueModule!BH4</f>
        <v>17285.245734721924</v>
      </c>
      <c r="BI45" s="55">
        <f>RevenueModule!BI4</f>
        <v>17458.098192069145</v>
      </c>
    </row>
    <row r="46" spans="1:89" s="47" customFormat="1" x14ac:dyDescent="0.25">
      <c r="A46" s="47" t="s">
        <v>226</v>
      </c>
      <c r="B46" s="55">
        <f>DATA!B79*DATA!B47</f>
        <v>0</v>
      </c>
      <c r="C46" s="55">
        <f>DATA!C79*DATA!C47</f>
        <v>0</v>
      </c>
      <c r="D46" s="55">
        <f>DATA!D79*DATA!D47</f>
        <v>0</v>
      </c>
      <c r="E46" s="55">
        <f>DATA!E79*DATA!E47</f>
        <v>75642.007840485341</v>
      </c>
      <c r="F46" s="55">
        <f>DATA!F79*DATA!F47</f>
        <v>76604.439537458602</v>
      </c>
      <c r="G46" s="55">
        <f>DATA!G79*DATA!G47</f>
        <v>77584.92041115668</v>
      </c>
      <c r="H46" s="55">
        <f>DATA!H79*DATA!H47</f>
        <v>78584.05879875012</v>
      </c>
      <c r="I46" s="55">
        <f>DATA!I79*DATA!I47</f>
        <v>79602.493492217385</v>
      </c>
      <c r="J46" s="55">
        <f>DATA!J79*DATA!J47</f>
        <v>80640.895501284103</v>
      </c>
      <c r="K46" s="55">
        <f>DATA!K79*DATA!K47</f>
        <v>81699.969923071287</v>
      </c>
      <c r="L46" s="55">
        <f>DATA!L79*DATA!L47</f>
        <v>82780.457925013834</v>
      </c>
      <c r="M46" s="55">
        <f>DATA!M79*DATA!M47</f>
        <v>83883.138848018789</v>
      </c>
      <c r="N46" s="55">
        <f>DATA!N79*DATA!N47</f>
        <v>85008.832437264093</v>
      </c>
      <c r="O46" s="55">
        <f>DATA!O79*DATA!O47</f>
        <v>86158.40120849722</v>
      </c>
      <c r="P46" s="55">
        <f>DATA!P79*DATA!P47</f>
        <v>87332.752958181794</v>
      </c>
      <c r="Q46" s="55">
        <f>DATA!Q79*DATA!Q47</f>
        <v>88532.843426357169</v>
      </c>
      <c r="R46" s="55">
        <f>DATA!R79*DATA!R47</f>
        <v>89759.679121627589</v>
      </c>
      <c r="S46" s="55">
        <f>DATA!S79*DATA!S47</f>
        <v>91014.320318281389</v>
      </c>
      <c r="T46" s="55">
        <f>DATA!T79*DATA!T47</f>
        <v>92297.884236162674</v>
      </c>
      <c r="U46" s="55">
        <f>DATA!U79*DATA!U47</f>
        <v>93611.548414577352</v>
      </c>
      <c r="V46" s="55">
        <f>DATA!V79*DATA!V47</f>
        <v>94956.554292218061</v>
      </c>
      <c r="W46" s="55">
        <f>DATA!W79*DATA!W47</f>
        <v>96334.211005836303</v>
      </c>
      <c r="X46" s="55">
        <f>DATA!X79*DATA!X47</f>
        <v>97745.899421183014</v>
      </c>
      <c r="Y46" s="55">
        <f>DATA!Y79*DATA!Y47</f>
        <v>99193.076410580252</v>
      </c>
      <c r="Z46" s="55">
        <f>DATA!Z79*DATA!Z47</f>
        <v>100677.27939237964</v>
      </c>
      <c r="AA46" s="55">
        <f>DATA!AA79*DATA!AA47</f>
        <v>102200.13114851539</v>
      </c>
      <c r="AB46" s="55">
        <f>DATA!AB79*DATA!AB47</f>
        <v>103763.34493736671</v>
      </c>
      <c r="AC46" s="55">
        <f>DATA!AC79*DATA!AC47</f>
        <v>105368.72992021989</v>
      </c>
      <c r="AD46" s="55">
        <f>DATA!AD79*DATA!AD47</f>
        <v>107018.19692075854</v>
      </c>
      <c r="AE46" s="55">
        <f>DATA!AE79*DATA!AE47</f>
        <v>108713.76453822214</v>
      </c>
      <c r="AF46" s="55">
        <f>DATA!AF79*DATA!AF47</f>
        <v>110457.5656361626</v>
      </c>
      <c r="AG46" s="55">
        <f>DATA!AG79*DATA!AG47</f>
        <v>112251.85423009392</v>
      </c>
      <c r="AH46" s="55">
        <f>DATA!AH79*DATA!AH47</f>
        <v>114099.01279878663</v>
      </c>
      <c r="AI46" s="55">
        <f>DATA!AI79*DATA!AI47</f>
        <v>116001.56004550302</v>
      </c>
      <c r="AJ46" s="55">
        <f>DATA!AJ79*DATA!AJ47</f>
        <v>117962.15913711197</v>
      </c>
      <c r="AK46" s="55">
        <f>DATA!AK79*DATA!AK47</f>
        <v>119983.62645076838</v>
      </c>
      <c r="AL46" s="55">
        <f>DATA!AL79*DATA!AL47</f>
        <v>122068.94085969689</v>
      </c>
      <c r="AM46" s="55">
        <f>DATA!AM79*DATA!AM47</f>
        <v>124221.25359159257</v>
      </c>
      <c r="AN46" s="55">
        <f>DATA!AN79*DATA!AN47</f>
        <v>126443.89869524712</v>
      </c>
      <c r="AO46" s="55">
        <f>DATA!AO79*DATA!AO47</f>
        <v>128740.40415323726</v>
      </c>
      <c r="AP46" s="55">
        <f>DATA!AP79*DATA!AP47</f>
        <v>131114.50368087951</v>
      </c>
      <c r="AQ46" s="55">
        <f>DATA!AQ79*DATA!AQ47</f>
        <v>133570.14925417522</v>
      </c>
      <c r="AR46" s="55">
        <f>DATA!AR79*DATA!AR47</f>
        <v>136111.52441214316</v>
      </c>
      <c r="AS46" s="55">
        <f>DATA!AS79*DATA!AS47</f>
        <v>138743.0583817827</v>
      </c>
      <c r="AT46" s="55">
        <f>DATA!AT79*DATA!AT47</f>
        <v>141469.44107693571</v>
      </c>
      <c r="AU46" s="55">
        <f>DATA!AU79*DATA!AU47</f>
        <v>144295.63902552729</v>
      </c>
      <c r="AV46" s="55">
        <f>DATA!AV79*DATA!AV47</f>
        <v>147226.91228308607</v>
      </c>
      <c r="AW46" s="55">
        <f>DATA!AW79*DATA!AW47</f>
        <v>150268.83239407424</v>
      </c>
      <c r="AX46" s="55">
        <f>DATA!AX79*DATA!AX47</f>
        <v>153427.3014664237</v>
      </c>
      <c r="AY46" s="55">
        <f>DATA!AY79*DATA!AY47</f>
        <v>156708.5724287779</v>
      </c>
      <c r="AZ46" s="55">
        <f>DATA!AZ79*DATA!AZ47</f>
        <v>160119.27054430687</v>
      </c>
      <c r="BA46" s="55">
        <f>DATA!BA79*DATA!BA47</f>
        <v>163666.41625960244</v>
      </c>
      <c r="BB46" s="55">
        <f>DATA!BB79*DATA!BB47</f>
        <v>167357.44947209879</v>
      </c>
      <c r="BC46" s="55">
        <f>DATA!BC79*DATA!BC47</f>
        <v>171200.25530470736</v>
      </c>
      <c r="BD46" s="55">
        <f>DATA!BD79*DATA!BD47</f>
        <v>175203.19148193757</v>
      </c>
      <c r="BE46" s="55">
        <f>DATA!BE79*DATA!BE47</f>
        <v>179375.1174077043</v>
      </c>
      <c r="BF46" s="55">
        <f>DATA!BF79*DATA!BF47</f>
        <v>183725.4250513344</v>
      </c>
      <c r="BG46" s="55">
        <f>DATA!BG79*DATA!BG47</f>
        <v>188264.07175498907</v>
      </c>
      <c r="BH46" s="55">
        <f>DATA!BH79*DATA!BH47</f>
        <v>193001.61508285464</v>
      </c>
      <c r="BI46" s="55">
        <f>DATA!BI79*DATA!BI47</f>
        <v>197949.24984003717</v>
      </c>
    </row>
    <row r="47" spans="1:89" s="56" customFormat="1" x14ac:dyDescent="0.25">
      <c r="A47" s="59" t="s">
        <v>227</v>
      </c>
      <c r="B47" s="44">
        <v>0.1</v>
      </c>
      <c r="C47" s="44">
        <v>0.1</v>
      </c>
      <c r="D47" s="44">
        <v>0.1</v>
      </c>
      <c r="E47" s="44">
        <v>0.1</v>
      </c>
      <c r="F47" s="44">
        <v>0.1</v>
      </c>
      <c r="G47" s="44">
        <v>0.1</v>
      </c>
      <c r="H47" s="44">
        <v>0.1</v>
      </c>
      <c r="I47" s="44">
        <v>0.1</v>
      </c>
      <c r="J47" s="44">
        <v>0.1</v>
      </c>
      <c r="K47" s="44">
        <v>0.1</v>
      </c>
      <c r="L47" s="44">
        <v>0.1</v>
      </c>
      <c r="M47" s="44">
        <v>0.1</v>
      </c>
      <c r="N47" s="44">
        <v>0.1</v>
      </c>
      <c r="O47" s="44">
        <v>0.1</v>
      </c>
      <c r="P47" s="44">
        <v>0.1</v>
      </c>
      <c r="Q47" s="44">
        <v>0.1</v>
      </c>
      <c r="R47" s="44">
        <v>0.1</v>
      </c>
      <c r="S47" s="44">
        <v>0.1</v>
      </c>
      <c r="T47" s="44">
        <v>0.1</v>
      </c>
      <c r="U47" s="44">
        <v>0.1</v>
      </c>
      <c r="V47" s="44">
        <v>0.1</v>
      </c>
      <c r="W47" s="44">
        <v>0.1</v>
      </c>
      <c r="X47" s="44">
        <v>0.1</v>
      </c>
      <c r="Y47" s="44">
        <v>0.1</v>
      </c>
      <c r="Z47" s="44">
        <v>0.1</v>
      </c>
      <c r="AA47" s="44">
        <v>0.1</v>
      </c>
      <c r="AB47" s="44">
        <v>0.1</v>
      </c>
      <c r="AC47" s="44">
        <v>0.1</v>
      </c>
      <c r="AD47" s="44">
        <v>0.1</v>
      </c>
      <c r="AE47" s="44">
        <v>0.1</v>
      </c>
      <c r="AF47" s="44">
        <v>0.1</v>
      </c>
      <c r="AG47" s="44">
        <v>0.1</v>
      </c>
      <c r="AH47" s="44">
        <v>0.1</v>
      </c>
      <c r="AI47" s="44">
        <v>0.1</v>
      </c>
      <c r="AJ47" s="44">
        <v>0.1</v>
      </c>
      <c r="AK47" s="44">
        <v>0.1</v>
      </c>
      <c r="AL47" s="44">
        <v>0.1</v>
      </c>
      <c r="AM47" s="44">
        <v>0.1</v>
      </c>
      <c r="AN47" s="44">
        <v>0.1</v>
      </c>
      <c r="AO47" s="44">
        <v>0.1</v>
      </c>
      <c r="AP47" s="44">
        <v>0.1</v>
      </c>
      <c r="AQ47" s="44">
        <v>0.1</v>
      </c>
      <c r="AR47" s="44">
        <v>0.1</v>
      </c>
      <c r="AS47" s="44">
        <v>0.1</v>
      </c>
      <c r="AT47" s="44">
        <v>0.1</v>
      </c>
      <c r="AU47" s="44">
        <v>0.1</v>
      </c>
      <c r="AV47" s="44">
        <v>0.1</v>
      </c>
      <c r="AW47" s="44">
        <v>0.1</v>
      </c>
      <c r="AX47" s="44">
        <v>0.1</v>
      </c>
      <c r="AY47" s="44">
        <v>0.1</v>
      </c>
      <c r="AZ47" s="44">
        <v>0.1</v>
      </c>
      <c r="BA47" s="44">
        <v>0.1</v>
      </c>
      <c r="BB47" s="44">
        <v>0.1</v>
      </c>
      <c r="BC47" s="44">
        <v>0.1</v>
      </c>
      <c r="BD47" s="44">
        <v>0.1</v>
      </c>
      <c r="BE47" s="44">
        <v>0.1</v>
      </c>
      <c r="BF47" s="44">
        <v>0.1</v>
      </c>
      <c r="BG47" s="44">
        <v>0.1</v>
      </c>
      <c r="BH47" s="44">
        <v>0.1</v>
      </c>
      <c r="BI47" s="44">
        <v>0.1</v>
      </c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</row>
    <row r="48" spans="1:89" s="47" customFormat="1" x14ac:dyDescent="0.25">
      <c r="A48" s="47" t="s">
        <v>149</v>
      </c>
      <c r="B48" s="55">
        <f>B49*RevenueModule!B62+1000</f>
        <v>1000</v>
      </c>
      <c r="C48" s="55">
        <f>C49*RevenueModule!C62+1000</f>
        <v>1000</v>
      </c>
      <c r="D48" s="55">
        <f>D49*RevenueModule!D62+1000</f>
        <v>1000</v>
      </c>
      <c r="E48" s="55">
        <f>E49*RevenueModule!E62+1000</f>
        <v>4025.6803136194135</v>
      </c>
      <c r="F48" s="55">
        <f>F49*RevenueModule!F62+1000</f>
        <v>4064.1775814983439</v>
      </c>
      <c r="G48" s="55">
        <f>G49*RevenueModule!G62+1000</f>
        <v>4103.3968164462676</v>
      </c>
      <c r="H48" s="55">
        <f>H49*RevenueModule!H62+1000</f>
        <v>4143.3623519500052</v>
      </c>
      <c r="I48" s="55">
        <f>I49*RevenueModule!I62+1000</f>
        <v>4184.0997396886951</v>
      </c>
      <c r="J48" s="55">
        <f>J49*RevenueModule!J62+1000</f>
        <v>4225.6358200513641</v>
      </c>
      <c r="K48" s="55">
        <f>K49*RevenueModule!K62+1000</f>
        <v>4267.9987969228514</v>
      </c>
      <c r="L48" s="55">
        <f>L49*RevenueModule!L62+1000</f>
        <v>4311.2183170005537</v>
      </c>
      <c r="M48" s="55">
        <f>M49*RevenueModule!M62+1000</f>
        <v>4355.3255539207512</v>
      </c>
      <c r="N48" s="55">
        <f>N49*RevenueModule!N62+1000</f>
        <v>4400.3532974905629</v>
      </c>
      <c r="O48" s="55">
        <f>O49*RevenueModule!O62+1000</f>
        <v>4446.3360483398883</v>
      </c>
      <c r="P48" s="55">
        <f>P49*RevenueModule!P62+1000</f>
        <v>4493.310118327272</v>
      </c>
      <c r="Q48" s="55">
        <f>Q49*RevenueModule!Q62+1000</f>
        <v>4541.3137370542863</v>
      </c>
      <c r="R48" s="55">
        <f>R49*RevenueModule!R62+1000</f>
        <v>4590.3871648651038</v>
      </c>
      <c r="S48" s="55">
        <f>S49*RevenueModule!S62+1000</f>
        <v>4640.5728127312559</v>
      </c>
      <c r="T48" s="55">
        <f>T49*RevenueModule!T62+1000</f>
        <v>4691.9153694465067</v>
      </c>
      <c r="U48" s="55">
        <f>U49*RevenueModule!U62+1000</f>
        <v>4744.461936583094</v>
      </c>
      <c r="V48" s="55">
        <f>V49*RevenueModule!V62+1000</f>
        <v>4798.2621716887224</v>
      </c>
      <c r="W48" s="55">
        <f>W49*RevenueModule!W62+1000</f>
        <v>4853.368440233452</v>
      </c>
      <c r="X48" s="55">
        <f>X49*RevenueModule!X62+1000</f>
        <v>4909.8359768473201</v>
      </c>
      <c r="Y48" s="55">
        <f>Y49*RevenueModule!Y62+1000</f>
        <v>4967.7230564232095</v>
      </c>
      <c r="Z48" s="55">
        <f>Z49*RevenueModule!Z62+1000</f>
        <v>5027.0911756951855</v>
      </c>
      <c r="AA48" s="55">
        <f>AA49*RevenueModule!AA62+1000</f>
        <v>5088.0052459406161</v>
      </c>
      <c r="AB48" s="55">
        <f>AB49*RevenueModule!AB62+1000</f>
        <v>5150.5337974946679</v>
      </c>
      <c r="AC48" s="55">
        <f>AC49*RevenueModule!AC62+1000</f>
        <v>5214.7491968087952</v>
      </c>
      <c r="AD48" s="55">
        <f>AD49*RevenueModule!AD62+1000</f>
        <v>5280.7278768303413</v>
      </c>
      <c r="AE48" s="55">
        <f>AE49*RevenueModule!AE62+1000</f>
        <v>5348.5505815288852</v>
      </c>
      <c r="AF48" s="55">
        <f>AF49*RevenueModule!AF62+1000</f>
        <v>5418.302625446504</v>
      </c>
      <c r="AG48" s="55">
        <f>AG49*RevenueModule!AG62+1000</f>
        <v>5490.0741692037564</v>
      </c>
      <c r="AH48" s="55">
        <f>AH49*RevenueModule!AH62+1000</f>
        <v>5563.9605119514654</v>
      </c>
      <c r="AI48" s="55">
        <f>AI49*RevenueModule!AI62+1000</f>
        <v>5640.0624018201206</v>
      </c>
      <c r="AJ48" s="55">
        <f>AJ49*RevenueModule!AJ62+1000</f>
        <v>5718.4863654844794</v>
      </c>
      <c r="AK48" s="55">
        <f>AK49*RevenueModule!AK62+1000</f>
        <v>5799.3450580307344</v>
      </c>
      <c r="AL48" s="55">
        <f>AL49*RevenueModule!AL62+1000</f>
        <v>5882.7576343878754</v>
      </c>
      <c r="AM48" s="55">
        <f>AM49*RevenueModule!AM62+1000</f>
        <v>5968.8501436637025</v>
      </c>
      <c r="AN48" s="55">
        <f>AN49*RevenueModule!AN62+1000</f>
        <v>6057.7559478098847</v>
      </c>
      <c r="AO48" s="55">
        <f>AO49*RevenueModule!AO62+1000</f>
        <v>6149.6161661294909</v>
      </c>
      <c r="AP48" s="55">
        <f>AP49*RevenueModule!AP62+1000</f>
        <v>6244.5801472351804</v>
      </c>
      <c r="AQ48" s="55">
        <f>AQ49*RevenueModule!AQ62+1000</f>
        <v>6342.8059701670081</v>
      </c>
      <c r="AR48" s="55">
        <f>AR49*RevenueModule!AR62+1000</f>
        <v>6444.4609764857269</v>
      </c>
      <c r="AS48" s="55">
        <f>AS49*RevenueModule!AS62+1000</f>
        <v>6549.7223352713081</v>
      </c>
      <c r="AT48" s="55">
        <f>AT49*RevenueModule!AT62+1000</f>
        <v>6658.7776430774275</v>
      </c>
      <c r="AU48" s="55">
        <f>AU49*RevenueModule!AU62+1000</f>
        <v>6771.8255610210917</v>
      </c>
      <c r="AV48" s="55">
        <f>AV49*RevenueModule!AV62+1000</f>
        <v>6889.0764913234434</v>
      </c>
      <c r="AW48" s="55">
        <f>AW49*RevenueModule!AW62+1000</f>
        <v>7010.7532957629692</v>
      </c>
      <c r="AX48" s="55">
        <f>AX49*RevenueModule!AX62+1000</f>
        <v>7137.0920586569482</v>
      </c>
      <c r="AY48" s="55">
        <f>AY49*RevenueModule!AY62+1000</f>
        <v>7268.3428971511166</v>
      </c>
      <c r="AZ48" s="55">
        <f>AZ49*RevenueModule!AZ62+1000</f>
        <v>7404.7708217722748</v>
      </c>
      <c r="BA48" s="55">
        <f>BA49*RevenueModule!BA62+1000</f>
        <v>7546.6566503840977</v>
      </c>
      <c r="BB48" s="55">
        <f>BB49*RevenueModule!BB62+1000</f>
        <v>7694.2979788839511</v>
      </c>
      <c r="BC48" s="55">
        <f>BC49*RevenueModule!BC62+1000</f>
        <v>7848.0102121882946</v>
      </c>
      <c r="BD48" s="55">
        <f>BD49*RevenueModule!BD62+1000</f>
        <v>8008.127659277503</v>
      </c>
      <c r="BE48" s="55">
        <f>BE49*RevenueModule!BE62+1000</f>
        <v>8175.0046963081713</v>
      </c>
      <c r="BF48" s="55">
        <f>BF49*RevenueModule!BF62+1000</f>
        <v>8349.0170020533751</v>
      </c>
      <c r="BG48" s="55">
        <f>BG49*RevenueModule!BG62+1000</f>
        <v>8530.5628701995629</v>
      </c>
      <c r="BH48" s="55">
        <f>BH49*RevenueModule!BH62+1000</f>
        <v>8720.0646033141857</v>
      </c>
      <c r="BI48" s="55">
        <f>BI49*RevenueModule!BI62+1000</f>
        <v>8917.9699936014858</v>
      </c>
    </row>
    <row r="49" spans="1:89" s="56" customFormat="1" x14ac:dyDescent="0.25">
      <c r="A49" s="59" t="s">
        <v>227</v>
      </c>
      <c r="B49" s="66">
        <v>4.0000000000000001E-3</v>
      </c>
      <c r="C49" s="66">
        <v>4.0000000000000001E-3</v>
      </c>
      <c r="D49" s="66">
        <v>4.0000000000000001E-3</v>
      </c>
      <c r="E49" s="66">
        <v>4.0000000000000001E-3</v>
      </c>
      <c r="F49" s="66">
        <v>4.0000000000000001E-3</v>
      </c>
      <c r="G49" s="66">
        <v>4.0000000000000001E-3</v>
      </c>
      <c r="H49" s="66">
        <v>4.0000000000000001E-3</v>
      </c>
      <c r="I49" s="66">
        <v>4.0000000000000001E-3</v>
      </c>
      <c r="J49" s="66">
        <v>4.0000000000000001E-3</v>
      </c>
      <c r="K49" s="66">
        <v>4.0000000000000001E-3</v>
      </c>
      <c r="L49" s="66">
        <v>4.0000000000000001E-3</v>
      </c>
      <c r="M49" s="66">
        <v>4.0000000000000001E-3</v>
      </c>
      <c r="N49" s="66">
        <v>4.0000000000000001E-3</v>
      </c>
      <c r="O49" s="66">
        <v>4.0000000000000001E-3</v>
      </c>
      <c r="P49" s="66">
        <v>4.0000000000000001E-3</v>
      </c>
      <c r="Q49" s="66">
        <v>4.0000000000000001E-3</v>
      </c>
      <c r="R49" s="66">
        <v>4.0000000000000001E-3</v>
      </c>
      <c r="S49" s="66">
        <v>4.0000000000000001E-3</v>
      </c>
      <c r="T49" s="66">
        <v>4.0000000000000001E-3</v>
      </c>
      <c r="U49" s="66">
        <v>4.0000000000000001E-3</v>
      </c>
      <c r="V49" s="66">
        <v>4.0000000000000001E-3</v>
      </c>
      <c r="W49" s="66">
        <v>4.0000000000000001E-3</v>
      </c>
      <c r="X49" s="66">
        <v>4.0000000000000001E-3</v>
      </c>
      <c r="Y49" s="66">
        <v>4.0000000000000001E-3</v>
      </c>
      <c r="Z49" s="66">
        <v>4.0000000000000001E-3</v>
      </c>
      <c r="AA49" s="66">
        <v>4.0000000000000001E-3</v>
      </c>
      <c r="AB49" s="66">
        <v>4.0000000000000001E-3</v>
      </c>
      <c r="AC49" s="66">
        <v>4.0000000000000001E-3</v>
      </c>
      <c r="AD49" s="66">
        <v>4.0000000000000001E-3</v>
      </c>
      <c r="AE49" s="66">
        <v>4.0000000000000001E-3</v>
      </c>
      <c r="AF49" s="66">
        <v>4.0000000000000001E-3</v>
      </c>
      <c r="AG49" s="66">
        <v>4.0000000000000001E-3</v>
      </c>
      <c r="AH49" s="66">
        <v>4.0000000000000001E-3</v>
      </c>
      <c r="AI49" s="66">
        <v>4.0000000000000001E-3</v>
      </c>
      <c r="AJ49" s="66">
        <v>4.0000000000000001E-3</v>
      </c>
      <c r="AK49" s="66">
        <v>4.0000000000000001E-3</v>
      </c>
      <c r="AL49" s="66">
        <v>4.0000000000000001E-3</v>
      </c>
      <c r="AM49" s="66">
        <v>4.0000000000000001E-3</v>
      </c>
      <c r="AN49" s="66">
        <v>4.0000000000000001E-3</v>
      </c>
      <c r="AO49" s="66">
        <v>4.0000000000000001E-3</v>
      </c>
      <c r="AP49" s="66">
        <v>4.0000000000000001E-3</v>
      </c>
      <c r="AQ49" s="66">
        <v>4.0000000000000001E-3</v>
      </c>
      <c r="AR49" s="66">
        <v>4.0000000000000001E-3</v>
      </c>
      <c r="AS49" s="66">
        <v>4.0000000000000001E-3</v>
      </c>
      <c r="AT49" s="66">
        <v>4.0000000000000001E-3</v>
      </c>
      <c r="AU49" s="66">
        <v>4.0000000000000001E-3</v>
      </c>
      <c r="AV49" s="66">
        <v>4.0000000000000001E-3</v>
      </c>
      <c r="AW49" s="66">
        <v>4.0000000000000001E-3</v>
      </c>
      <c r="AX49" s="66">
        <v>4.0000000000000001E-3</v>
      </c>
      <c r="AY49" s="66">
        <v>4.0000000000000001E-3</v>
      </c>
      <c r="AZ49" s="66">
        <v>4.0000000000000001E-3</v>
      </c>
      <c r="BA49" s="66">
        <v>4.0000000000000001E-3</v>
      </c>
      <c r="BB49" s="66">
        <v>4.0000000000000001E-3</v>
      </c>
      <c r="BC49" s="66">
        <v>4.0000000000000001E-3</v>
      </c>
      <c r="BD49" s="66">
        <v>4.0000000000000001E-3</v>
      </c>
      <c r="BE49" s="66">
        <v>4.0000000000000001E-3</v>
      </c>
      <c r="BF49" s="66">
        <v>4.0000000000000001E-3</v>
      </c>
      <c r="BG49" s="66">
        <v>4.0000000000000001E-3</v>
      </c>
      <c r="BH49" s="66">
        <v>4.0000000000000001E-3</v>
      </c>
      <c r="BI49" s="66">
        <v>4.0000000000000001E-3</v>
      </c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</row>
    <row r="50" spans="1:89" s="47" customFormat="1" x14ac:dyDescent="0.25">
      <c r="A50" s="47" t="s">
        <v>140</v>
      </c>
      <c r="B50" s="55">
        <f>B51*B79</f>
        <v>0</v>
      </c>
      <c r="C50" s="55">
        <f t="shared" ref="C50:BI50" si="26">C51*C79</f>
        <v>0</v>
      </c>
      <c r="D50" s="55">
        <f t="shared" si="26"/>
        <v>0</v>
      </c>
      <c r="E50" s="55">
        <f t="shared" si="26"/>
        <v>4538.52047042912</v>
      </c>
      <c r="F50" s="55">
        <f t="shared" si="26"/>
        <v>4596.2663722475163</v>
      </c>
      <c r="G50" s="55">
        <f t="shared" si="26"/>
        <v>4655.0952246694005</v>
      </c>
      <c r="H50" s="55">
        <f t="shared" si="26"/>
        <v>4715.0435279250069</v>
      </c>
      <c r="I50" s="55">
        <f t="shared" si="26"/>
        <v>4776.1496095330422</v>
      </c>
      <c r="J50" s="55">
        <f t="shared" si="26"/>
        <v>4838.4537300770462</v>
      </c>
      <c r="K50" s="55">
        <f t="shared" si="26"/>
        <v>4901.9981953842771</v>
      </c>
      <c r="L50" s="55">
        <f t="shared" si="26"/>
        <v>4966.8274755008297</v>
      </c>
      <c r="M50" s="55">
        <f t="shared" si="26"/>
        <v>5032.9883308811277</v>
      </c>
      <c r="N50" s="55">
        <f t="shared" si="26"/>
        <v>5100.5299462358453</v>
      </c>
      <c r="O50" s="55">
        <f t="shared" si="26"/>
        <v>5169.5040725098324</v>
      </c>
      <c r="P50" s="55">
        <f t="shared" si="26"/>
        <v>5239.965177490908</v>
      </c>
      <c r="Q50" s="55">
        <f t="shared" si="26"/>
        <v>5311.9706055814295</v>
      </c>
      <c r="R50" s="55">
        <f t="shared" si="26"/>
        <v>5385.5807472976558</v>
      </c>
      <c r="S50" s="55">
        <f t="shared" si="26"/>
        <v>5460.859219096883</v>
      </c>
      <c r="T50" s="55">
        <f t="shared" si="26"/>
        <v>5537.8730541697605</v>
      </c>
      <c r="U50" s="55">
        <f t="shared" si="26"/>
        <v>5616.6929048746406</v>
      </c>
      <c r="V50" s="55">
        <f t="shared" si="26"/>
        <v>5697.3932575330837</v>
      </c>
      <c r="W50" s="55">
        <f t="shared" si="26"/>
        <v>5780.0526603501776</v>
      </c>
      <c r="X50" s="55">
        <f t="shared" si="26"/>
        <v>5864.7539652709802</v>
      </c>
      <c r="Y50" s="55">
        <f t="shared" si="26"/>
        <v>5951.5845846348147</v>
      </c>
      <c r="Z50" s="55">
        <f t="shared" si="26"/>
        <v>6040.6367635427787</v>
      </c>
      <c r="AA50" s="55">
        <f t="shared" si="26"/>
        <v>6132.0078689109232</v>
      </c>
      <c r="AB50" s="55">
        <f t="shared" si="26"/>
        <v>6225.8006962420022</v>
      </c>
      <c r="AC50" s="55">
        <f t="shared" si="26"/>
        <v>6322.1237952131933</v>
      </c>
      <c r="AD50" s="55">
        <f t="shared" si="26"/>
        <v>6421.0918152455124</v>
      </c>
      <c r="AE50" s="55">
        <f t="shared" si="26"/>
        <v>6522.8258722933278</v>
      </c>
      <c r="AF50" s="55">
        <f t="shared" si="26"/>
        <v>6627.4539381697559</v>
      </c>
      <c r="AG50" s="55">
        <f t="shared" si="26"/>
        <v>6735.111253805635</v>
      </c>
      <c r="AH50" s="55">
        <f t="shared" si="26"/>
        <v>6845.9407679271981</v>
      </c>
      <c r="AI50" s="55">
        <f t="shared" si="26"/>
        <v>6960.0936027301805</v>
      </c>
      <c r="AJ50" s="55">
        <f t="shared" si="26"/>
        <v>7077.7295482267182</v>
      </c>
      <c r="AK50" s="55">
        <f t="shared" si="26"/>
        <v>7199.0175870461026</v>
      </c>
      <c r="AL50" s="55">
        <f t="shared" si="26"/>
        <v>7324.1364515818123</v>
      </c>
      <c r="AM50" s="55">
        <f t="shared" si="26"/>
        <v>7453.2752154955542</v>
      </c>
      <c r="AN50" s="55">
        <f t="shared" si="26"/>
        <v>7586.633921714827</v>
      </c>
      <c r="AO50" s="55">
        <f t="shared" si="26"/>
        <v>7724.4242491942359</v>
      </c>
      <c r="AP50" s="55">
        <f t="shared" si="26"/>
        <v>7866.8702208527702</v>
      </c>
      <c r="AQ50" s="55">
        <f t="shared" si="26"/>
        <v>8014.2089552505122</v>
      </c>
      <c r="AR50" s="55">
        <f t="shared" si="26"/>
        <v>8166.6914647285894</v>
      </c>
      <c r="AS50" s="55">
        <f t="shared" si="26"/>
        <v>8324.5835029069622</v>
      </c>
      <c r="AT50" s="55">
        <f t="shared" si="26"/>
        <v>8488.1664646161407</v>
      </c>
      <c r="AU50" s="55">
        <f t="shared" si="26"/>
        <v>8657.7383415316381</v>
      </c>
      <c r="AV50" s="55">
        <f t="shared" si="26"/>
        <v>8833.6147369851642</v>
      </c>
      <c r="AW50" s="55">
        <f t="shared" si="26"/>
        <v>9016.1299436444533</v>
      </c>
      <c r="AX50" s="55">
        <f t="shared" si="26"/>
        <v>9205.6380879854223</v>
      </c>
      <c r="AY50" s="55">
        <f t="shared" si="26"/>
        <v>9402.5143457266749</v>
      </c>
      <c r="AZ50" s="55">
        <f t="shared" si="26"/>
        <v>9607.1562326584117</v>
      </c>
      <c r="BA50" s="55">
        <f t="shared" si="26"/>
        <v>9819.9849755761461</v>
      </c>
      <c r="BB50" s="55">
        <f t="shared" si="26"/>
        <v>10041.446968325927</v>
      </c>
      <c r="BC50" s="55">
        <f t="shared" si="26"/>
        <v>10272.015318282442</v>
      </c>
      <c r="BD50" s="55">
        <f t="shared" si="26"/>
        <v>10512.191488916254</v>
      </c>
      <c r="BE50" s="55">
        <f t="shared" si="26"/>
        <v>10762.507044462258</v>
      </c>
      <c r="BF50" s="55">
        <f t="shared" si="26"/>
        <v>11023.525503080064</v>
      </c>
      <c r="BG50" s="55">
        <f t="shared" si="26"/>
        <v>11295.844305299343</v>
      </c>
      <c r="BH50" s="55">
        <f t="shared" si="26"/>
        <v>11580.096904971278</v>
      </c>
      <c r="BI50" s="55">
        <f t="shared" si="26"/>
        <v>11876.95499040223</v>
      </c>
    </row>
    <row r="51" spans="1:89" s="56" customFormat="1" x14ac:dyDescent="0.25">
      <c r="A51" s="59" t="s">
        <v>227</v>
      </c>
      <c r="B51" s="66">
        <v>6.0000000000000001E-3</v>
      </c>
      <c r="C51" s="66">
        <v>6.0000000000000001E-3</v>
      </c>
      <c r="D51" s="66">
        <v>6.0000000000000001E-3</v>
      </c>
      <c r="E51" s="66">
        <v>6.0000000000000001E-3</v>
      </c>
      <c r="F51" s="66">
        <v>6.0000000000000001E-3</v>
      </c>
      <c r="G51" s="66">
        <v>6.0000000000000001E-3</v>
      </c>
      <c r="H51" s="66">
        <v>6.0000000000000001E-3</v>
      </c>
      <c r="I51" s="66">
        <v>6.0000000000000001E-3</v>
      </c>
      <c r="J51" s="66">
        <v>6.0000000000000001E-3</v>
      </c>
      <c r="K51" s="66">
        <v>6.0000000000000001E-3</v>
      </c>
      <c r="L51" s="66">
        <v>6.0000000000000001E-3</v>
      </c>
      <c r="M51" s="66">
        <v>6.0000000000000001E-3</v>
      </c>
      <c r="N51" s="66">
        <v>6.0000000000000001E-3</v>
      </c>
      <c r="O51" s="66">
        <v>6.0000000000000001E-3</v>
      </c>
      <c r="P51" s="66">
        <v>6.0000000000000001E-3</v>
      </c>
      <c r="Q51" s="66">
        <v>6.0000000000000001E-3</v>
      </c>
      <c r="R51" s="66">
        <v>6.0000000000000001E-3</v>
      </c>
      <c r="S51" s="66">
        <v>6.0000000000000001E-3</v>
      </c>
      <c r="T51" s="66">
        <v>6.0000000000000001E-3</v>
      </c>
      <c r="U51" s="66">
        <v>6.0000000000000001E-3</v>
      </c>
      <c r="V51" s="66">
        <v>6.0000000000000001E-3</v>
      </c>
      <c r="W51" s="66">
        <v>6.0000000000000001E-3</v>
      </c>
      <c r="X51" s="66">
        <v>6.0000000000000001E-3</v>
      </c>
      <c r="Y51" s="66">
        <v>6.0000000000000001E-3</v>
      </c>
      <c r="Z51" s="66">
        <v>6.0000000000000001E-3</v>
      </c>
      <c r="AA51" s="66">
        <v>6.0000000000000001E-3</v>
      </c>
      <c r="AB51" s="66">
        <v>6.0000000000000001E-3</v>
      </c>
      <c r="AC51" s="66">
        <v>6.0000000000000001E-3</v>
      </c>
      <c r="AD51" s="66">
        <v>6.0000000000000001E-3</v>
      </c>
      <c r="AE51" s="66">
        <v>6.0000000000000001E-3</v>
      </c>
      <c r="AF51" s="66">
        <v>6.0000000000000001E-3</v>
      </c>
      <c r="AG51" s="66">
        <v>6.0000000000000001E-3</v>
      </c>
      <c r="AH51" s="66">
        <v>6.0000000000000001E-3</v>
      </c>
      <c r="AI51" s="66">
        <v>6.0000000000000001E-3</v>
      </c>
      <c r="AJ51" s="66">
        <v>6.0000000000000001E-3</v>
      </c>
      <c r="AK51" s="66">
        <v>6.0000000000000001E-3</v>
      </c>
      <c r="AL51" s="66">
        <v>6.0000000000000001E-3</v>
      </c>
      <c r="AM51" s="66">
        <v>6.0000000000000001E-3</v>
      </c>
      <c r="AN51" s="66">
        <v>6.0000000000000001E-3</v>
      </c>
      <c r="AO51" s="66">
        <v>6.0000000000000001E-3</v>
      </c>
      <c r="AP51" s="66">
        <v>6.0000000000000001E-3</v>
      </c>
      <c r="AQ51" s="66">
        <v>6.0000000000000001E-3</v>
      </c>
      <c r="AR51" s="66">
        <v>6.0000000000000001E-3</v>
      </c>
      <c r="AS51" s="66">
        <v>6.0000000000000001E-3</v>
      </c>
      <c r="AT51" s="66">
        <v>6.0000000000000001E-3</v>
      </c>
      <c r="AU51" s="66">
        <v>6.0000000000000001E-3</v>
      </c>
      <c r="AV51" s="66">
        <v>6.0000000000000001E-3</v>
      </c>
      <c r="AW51" s="66">
        <v>6.0000000000000001E-3</v>
      </c>
      <c r="AX51" s="66">
        <v>6.0000000000000001E-3</v>
      </c>
      <c r="AY51" s="66">
        <v>6.0000000000000001E-3</v>
      </c>
      <c r="AZ51" s="66">
        <v>6.0000000000000001E-3</v>
      </c>
      <c r="BA51" s="66">
        <v>6.0000000000000001E-3</v>
      </c>
      <c r="BB51" s="66">
        <v>6.0000000000000001E-3</v>
      </c>
      <c r="BC51" s="66">
        <v>6.0000000000000001E-3</v>
      </c>
      <c r="BD51" s="66">
        <v>6.0000000000000001E-3</v>
      </c>
      <c r="BE51" s="66">
        <v>6.0000000000000001E-3</v>
      </c>
      <c r="BF51" s="66">
        <v>6.0000000000000001E-3</v>
      </c>
      <c r="BG51" s="66">
        <v>6.0000000000000001E-3</v>
      </c>
      <c r="BH51" s="66">
        <v>6.0000000000000001E-3</v>
      </c>
      <c r="BI51" s="66">
        <v>6.0000000000000001E-3</v>
      </c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</row>
    <row r="52" spans="1:89" s="47" customFormat="1" x14ac:dyDescent="0.25">
      <c r="A52" s="47" t="s">
        <v>20</v>
      </c>
      <c r="B52" s="19">
        <v>500</v>
      </c>
      <c r="C52" s="55">
        <f>B52*(1+B53)</f>
        <v>515</v>
      </c>
      <c r="D52" s="55">
        <f t="shared" ref="D52:BI52" si="27">C52*(1+C53)</f>
        <v>530.45000000000005</v>
      </c>
      <c r="E52" s="55">
        <f t="shared" si="27"/>
        <v>546.36350000000004</v>
      </c>
      <c r="F52" s="55">
        <f t="shared" si="27"/>
        <v>562.75440500000002</v>
      </c>
      <c r="G52" s="55">
        <f t="shared" si="27"/>
        <v>579.63703715000008</v>
      </c>
      <c r="H52" s="55">
        <f t="shared" si="27"/>
        <v>597.02614826450008</v>
      </c>
      <c r="I52" s="55">
        <f t="shared" si="27"/>
        <v>614.93693271243512</v>
      </c>
      <c r="J52" s="55">
        <f t="shared" si="27"/>
        <v>633.38504069380815</v>
      </c>
      <c r="K52" s="55">
        <f t="shared" si="27"/>
        <v>652.38659191462239</v>
      </c>
      <c r="L52" s="55">
        <f t="shared" si="27"/>
        <v>671.95818967206105</v>
      </c>
      <c r="M52" s="55">
        <f t="shared" si="27"/>
        <v>692.11693536222288</v>
      </c>
      <c r="N52" s="55">
        <f t="shared" si="27"/>
        <v>712.88044342308956</v>
      </c>
      <c r="O52" s="55">
        <f t="shared" si="27"/>
        <v>734.2668567257823</v>
      </c>
      <c r="P52" s="55">
        <f t="shared" si="27"/>
        <v>756.29486242755581</v>
      </c>
      <c r="Q52" s="55">
        <f t="shared" si="27"/>
        <v>778.98370830038255</v>
      </c>
      <c r="R52" s="55">
        <f t="shared" si="27"/>
        <v>802.353219549394</v>
      </c>
      <c r="S52" s="55">
        <f t="shared" si="27"/>
        <v>826.42381613587588</v>
      </c>
      <c r="T52" s="55">
        <f t="shared" si="27"/>
        <v>851.21653061995221</v>
      </c>
      <c r="U52" s="55">
        <f t="shared" si="27"/>
        <v>876.75302653855078</v>
      </c>
      <c r="V52" s="55">
        <f t="shared" si="27"/>
        <v>903.05561733470734</v>
      </c>
      <c r="W52" s="55">
        <f t="shared" si="27"/>
        <v>930.14728585474859</v>
      </c>
      <c r="X52" s="55">
        <f t="shared" si="27"/>
        <v>958.05170443039106</v>
      </c>
      <c r="Y52" s="55">
        <f t="shared" si="27"/>
        <v>986.79325556330286</v>
      </c>
      <c r="Z52" s="55">
        <f t="shared" si="27"/>
        <v>1016.397053230202</v>
      </c>
      <c r="AA52" s="55">
        <f t="shared" si="27"/>
        <v>1046.8889648271081</v>
      </c>
      <c r="AB52" s="55">
        <f t="shared" si="27"/>
        <v>1078.2956337719213</v>
      </c>
      <c r="AC52" s="55">
        <f t="shared" si="27"/>
        <v>1110.6445027850789</v>
      </c>
      <c r="AD52" s="55">
        <f t="shared" si="27"/>
        <v>1143.9638378686313</v>
      </c>
      <c r="AE52" s="55">
        <f t="shared" si="27"/>
        <v>1178.2827530046902</v>
      </c>
      <c r="AF52" s="55">
        <f t="shared" si="27"/>
        <v>1213.631235594831</v>
      </c>
      <c r="AG52" s="55">
        <f t="shared" si="27"/>
        <v>1250.040172662676</v>
      </c>
      <c r="AH52" s="55">
        <f t="shared" si="27"/>
        <v>1287.5413778425564</v>
      </c>
      <c r="AI52" s="55">
        <f t="shared" si="27"/>
        <v>1326.1676191778331</v>
      </c>
      <c r="AJ52" s="55">
        <f t="shared" si="27"/>
        <v>1365.9526477531681</v>
      </c>
      <c r="AK52" s="55">
        <f t="shared" si="27"/>
        <v>1406.9312271857632</v>
      </c>
      <c r="AL52" s="55">
        <f t="shared" si="27"/>
        <v>1449.1391640013362</v>
      </c>
      <c r="AM52" s="55">
        <f t="shared" si="27"/>
        <v>1492.6133389213762</v>
      </c>
      <c r="AN52" s="55">
        <f t="shared" si="27"/>
        <v>1537.3917390890176</v>
      </c>
      <c r="AO52" s="55">
        <f t="shared" si="27"/>
        <v>1583.5134912616882</v>
      </c>
      <c r="AP52" s="55">
        <f t="shared" si="27"/>
        <v>1631.0188959995389</v>
      </c>
      <c r="AQ52" s="55">
        <f t="shared" si="27"/>
        <v>1679.9494628795251</v>
      </c>
      <c r="AR52" s="55">
        <f t="shared" si="27"/>
        <v>1730.3479467659108</v>
      </c>
      <c r="AS52" s="55">
        <f t="shared" si="27"/>
        <v>1782.2583851688883</v>
      </c>
      <c r="AT52" s="55">
        <f t="shared" si="27"/>
        <v>1835.7261367239551</v>
      </c>
      <c r="AU52" s="55">
        <f t="shared" si="27"/>
        <v>1890.7979208256738</v>
      </c>
      <c r="AV52" s="55">
        <f t="shared" si="27"/>
        <v>1947.5218584504441</v>
      </c>
      <c r="AW52" s="55">
        <f t="shared" si="27"/>
        <v>2005.9475142039576</v>
      </c>
      <c r="AX52" s="55">
        <f t="shared" si="27"/>
        <v>2066.1259396300761</v>
      </c>
      <c r="AY52" s="55">
        <f t="shared" si="27"/>
        <v>2128.1097178189784</v>
      </c>
      <c r="AZ52" s="55">
        <f t="shared" si="27"/>
        <v>2191.9530093535477</v>
      </c>
      <c r="BA52" s="55">
        <f t="shared" si="27"/>
        <v>2257.711599634154</v>
      </c>
      <c r="BB52" s="55">
        <f t="shared" si="27"/>
        <v>2325.4429476231785</v>
      </c>
      <c r="BC52" s="55">
        <f t="shared" si="27"/>
        <v>2395.2062360518739</v>
      </c>
      <c r="BD52" s="55">
        <f t="shared" si="27"/>
        <v>2467.06242313343</v>
      </c>
      <c r="BE52" s="55">
        <f t="shared" si="27"/>
        <v>2541.0742958274332</v>
      </c>
      <c r="BF52" s="55">
        <f t="shared" si="27"/>
        <v>2617.3065247022564</v>
      </c>
      <c r="BG52" s="55">
        <f t="shared" si="27"/>
        <v>2695.8257204433244</v>
      </c>
      <c r="BH52" s="55">
        <f t="shared" si="27"/>
        <v>2776.7004920566242</v>
      </c>
      <c r="BI52" s="55">
        <f t="shared" si="27"/>
        <v>2860.0015068183229</v>
      </c>
    </row>
    <row r="53" spans="1:89" s="56" customFormat="1" x14ac:dyDescent="0.25">
      <c r="A53" s="30" t="s">
        <v>152</v>
      </c>
      <c r="B53" s="44">
        <v>0.03</v>
      </c>
      <c r="C53" s="44">
        <v>0.03</v>
      </c>
      <c r="D53" s="44">
        <v>0.03</v>
      </c>
      <c r="E53" s="44">
        <v>0.03</v>
      </c>
      <c r="F53" s="44">
        <v>0.03</v>
      </c>
      <c r="G53" s="44">
        <v>0.03</v>
      </c>
      <c r="H53" s="44">
        <v>0.03</v>
      </c>
      <c r="I53" s="44">
        <v>0.03</v>
      </c>
      <c r="J53" s="44">
        <v>0.03</v>
      </c>
      <c r="K53" s="44">
        <v>0.03</v>
      </c>
      <c r="L53" s="44">
        <v>0.03</v>
      </c>
      <c r="M53" s="44">
        <v>0.03</v>
      </c>
      <c r="N53" s="44">
        <v>0.03</v>
      </c>
      <c r="O53" s="44">
        <v>0.03</v>
      </c>
      <c r="P53" s="44">
        <v>0.03</v>
      </c>
      <c r="Q53" s="44">
        <v>0.03</v>
      </c>
      <c r="R53" s="44">
        <v>0.03</v>
      </c>
      <c r="S53" s="44">
        <v>0.03</v>
      </c>
      <c r="T53" s="44">
        <v>0.03</v>
      </c>
      <c r="U53" s="44">
        <v>0.03</v>
      </c>
      <c r="V53" s="44">
        <v>0.03</v>
      </c>
      <c r="W53" s="44">
        <v>0.03</v>
      </c>
      <c r="X53" s="44">
        <v>0.03</v>
      </c>
      <c r="Y53" s="44">
        <v>0.03</v>
      </c>
      <c r="Z53" s="44">
        <v>0.03</v>
      </c>
      <c r="AA53" s="44">
        <v>0.03</v>
      </c>
      <c r="AB53" s="44">
        <v>0.03</v>
      </c>
      <c r="AC53" s="44">
        <v>0.03</v>
      </c>
      <c r="AD53" s="44">
        <v>0.03</v>
      </c>
      <c r="AE53" s="44">
        <v>0.03</v>
      </c>
      <c r="AF53" s="44">
        <v>0.03</v>
      </c>
      <c r="AG53" s="44">
        <v>0.03</v>
      </c>
      <c r="AH53" s="44">
        <v>0.03</v>
      </c>
      <c r="AI53" s="44">
        <v>0.03</v>
      </c>
      <c r="AJ53" s="44">
        <v>0.03</v>
      </c>
      <c r="AK53" s="44">
        <v>0.03</v>
      </c>
      <c r="AL53" s="44">
        <v>0.03</v>
      </c>
      <c r="AM53" s="44">
        <v>0.03</v>
      </c>
      <c r="AN53" s="44">
        <v>0.03</v>
      </c>
      <c r="AO53" s="44">
        <v>0.03</v>
      </c>
      <c r="AP53" s="44">
        <v>0.03</v>
      </c>
      <c r="AQ53" s="44">
        <v>0.03</v>
      </c>
      <c r="AR53" s="44">
        <v>0.03</v>
      </c>
      <c r="AS53" s="44">
        <v>0.03</v>
      </c>
      <c r="AT53" s="44">
        <v>0.03</v>
      </c>
      <c r="AU53" s="44">
        <v>0.03</v>
      </c>
      <c r="AV53" s="44">
        <v>0.03</v>
      </c>
      <c r="AW53" s="44">
        <v>0.03</v>
      </c>
      <c r="AX53" s="44">
        <v>0.03</v>
      </c>
      <c r="AY53" s="44">
        <v>0.03</v>
      </c>
      <c r="AZ53" s="44">
        <v>0.03</v>
      </c>
      <c r="BA53" s="44">
        <v>0.03</v>
      </c>
      <c r="BB53" s="44">
        <v>0.03</v>
      </c>
      <c r="BC53" s="44">
        <v>0.03</v>
      </c>
      <c r="BD53" s="44">
        <v>0.03</v>
      </c>
      <c r="BE53" s="44">
        <v>0.03</v>
      </c>
      <c r="BF53" s="44">
        <v>0.03</v>
      </c>
      <c r="BG53" s="44">
        <v>0.03</v>
      </c>
      <c r="BH53" s="44">
        <v>0.03</v>
      </c>
      <c r="BI53" s="44">
        <v>0.03</v>
      </c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</row>
    <row r="54" spans="1:89" s="47" customFormat="1" x14ac:dyDescent="0.25">
      <c r="A54" s="47" t="s">
        <v>141</v>
      </c>
      <c r="B54" s="19">
        <v>1500</v>
      </c>
      <c r="C54" s="55">
        <f>B54*(1+B55)</f>
        <v>1545</v>
      </c>
      <c r="D54" s="55">
        <f t="shared" ref="D54:BI54" si="28">C54*(1+C55)</f>
        <v>1591.3500000000001</v>
      </c>
      <c r="E54" s="55">
        <f t="shared" si="28"/>
        <v>1639.0905000000002</v>
      </c>
      <c r="F54" s="55">
        <f t="shared" si="28"/>
        <v>1688.2632150000004</v>
      </c>
      <c r="G54" s="55">
        <f t="shared" si="28"/>
        <v>1738.9111114500004</v>
      </c>
      <c r="H54" s="55">
        <f t="shared" si="28"/>
        <v>1791.0784447935005</v>
      </c>
      <c r="I54" s="55">
        <f t="shared" si="28"/>
        <v>1844.8107981373055</v>
      </c>
      <c r="J54" s="55">
        <f t="shared" si="28"/>
        <v>1900.1551220814247</v>
      </c>
      <c r="K54" s="55">
        <f t="shared" si="28"/>
        <v>1957.1597757438674</v>
      </c>
      <c r="L54" s="55">
        <f t="shared" si="28"/>
        <v>2015.8745690161834</v>
      </c>
      <c r="M54" s="55">
        <f t="shared" si="28"/>
        <v>2076.3508060866689</v>
      </c>
      <c r="N54" s="55">
        <f t="shared" si="28"/>
        <v>2138.641330269269</v>
      </c>
      <c r="O54" s="55">
        <f t="shared" si="28"/>
        <v>2202.8005701773473</v>
      </c>
      <c r="P54" s="55">
        <f t="shared" si="28"/>
        <v>2268.8845872826678</v>
      </c>
      <c r="Q54" s="55">
        <f t="shared" si="28"/>
        <v>2336.951124901148</v>
      </c>
      <c r="R54" s="55">
        <f t="shared" si="28"/>
        <v>2407.0596586481824</v>
      </c>
      <c r="S54" s="55">
        <f t="shared" si="28"/>
        <v>2479.2714484076282</v>
      </c>
      <c r="T54" s="55">
        <f t="shared" si="28"/>
        <v>2553.6495918598571</v>
      </c>
      <c r="U54" s="55">
        <f t="shared" si="28"/>
        <v>2630.2590796156528</v>
      </c>
      <c r="V54" s="55">
        <f t="shared" si="28"/>
        <v>2709.1668520041226</v>
      </c>
      <c r="W54" s="55">
        <f t="shared" si="28"/>
        <v>2790.4418575642462</v>
      </c>
      <c r="X54" s="55">
        <f t="shared" si="28"/>
        <v>2874.1551132911736</v>
      </c>
      <c r="Y54" s="55">
        <f t="shared" si="28"/>
        <v>2960.379766689909</v>
      </c>
      <c r="Z54" s="55">
        <f t="shared" si="28"/>
        <v>3049.1911596906066</v>
      </c>
      <c r="AA54" s="55">
        <f t="shared" si="28"/>
        <v>3140.666894481325</v>
      </c>
      <c r="AB54" s="55">
        <f t="shared" si="28"/>
        <v>3234.886901315765</v>
      </c>
      <c r="AC54" s="55">
        <f t="shared" si="28"/>
        <v>3331.9335083552382</v>
      </c>
      <c r="AD54" s="55">
        <f t="shared" si="28"/>
        <v>3431.8915136058954</v>
      </c>
      <c r="AE54" s="55">
        <f t="shared" si="28"/>
        <v>3534.8482590140725</v>
      </c>
      <c r="AF54" s="55">
        <f t="shared" si="28"/>
        <v>3640.893706784495</v>
      </c>
      <c r="AG54" s="55">
        <f t="shared" si="28"/>
        <v>3750.1205179880299</v>
      </c>
      <c r="AH54" s="55">
        <f t="shared" si="28"/>
        <v>3862.6241335276709</v>
      </c>
      <c r="AI54" s="55">
        <f t="shared" si="28"/>
        <v>3978.5028575335009</v>
      </c>
      <c r="AJ54" s="55">
        <f t="shared" si="28"/>
        <v>4097.8579432595061</v>
      </c>
      <c r="AK54" s="55">
        <f t="shared" si="28"/>
        <v>4220.7936815572912</v>
      </c>
      <c r="AL54" s="55">
        <f t="shared" si="28"/>
        <v>4347.4174920040105</v>
      </c>
      <c r="AM54" s="55">
        <f t="shared" si="28"/>
        <v>4477.8400167641312</v>
      </c>
      <c r="AN54" s="55">
        <f t="shared" si="28"/>
        <v>4612.1752172670549</v>
      </c>
      <c r="AO54" s="55">
        <f t="shared" si="28"/>
        <v>4750.5404737850668</v>
      </c>
      <c r="AP54" s="55">
        <f t="shared" si="28"/>
        <v>4893.0566879986191</v>
      </c>
      <c r="AQ54" s="55">
        <f t="shared" si="28"/>
        <v>5039.8483886385775</v>
      </c>
      <c r="AR54" s="55">
        <f t="shared" si="28"/>
        <v>5191.0438402977352</v>
      </c>
      <c r="AS54" s="55">
        <f t="shared" si="28"/>
        <v>5346.775155506667</v>
      </c>
      <c r="AT54" s="55">
        <f t="shared" si="28"/>
        <v>5507.1784101718667</v>
      </c>
      <c r="AU54" s="55">
        <f t="shared" si="28"/>
        <v>5672.3937624770233</v>
      </c>
      <c r="AV54" s="55">
        <f t="shared" si="28"/>
        <v>5842.5655753513338</v>
      </c>
      <c r="AW54" s="55">
        <f t="shared" si="28"/>
        <v>6017.8425426118738</v>
      </c>
      <c r="AX54" s="55">
        <f t="shared" si="28"/>
        <v>6198.3778188902297</v>
      </c>
      <c r="AY54" s="55">
        <f t="shared" si="28"/>
        <v>6384.3291534569371</v>
      </c>
      <c r="AZ54" s="55">
        <f t="shared" si="28"/>
        <v>6575.859028060645</v>
      </c>
      <c r="BA54" s="55">
        <f t="shared" si="28"/>
        <v>6773.1347989024644</v>
      </c>
      <c r="BB54" s="55">
        <f t="shared" si="28"/>
        <v>6976.3288428695387</v>
      </c>
      <c r="BC54" s="55">
        <f t="shared" si="28"/>
        <v>7185.6187081556254</v>
      </c>
      <c r="BD54" s="55">
        <f t="shared" si="28"/>
        <v>7401.1872694002941</v>
      </c>
      <c r="BE54" s="55">
        <f t="shared" si="28"/>
        <v>7623.2228874823031</v>
      </c>
      <c r="BF54" s="55">
        <f t="shared" si="28"/>
        <v>7851.9195741067724</v>
      </c>
      <c r="BG54" s="55">
        <f t="shared" si="28"/>
        <v>8087.4771613299754</v>
      </c>
      <c r="BH54" s="55">
        <f t="shared" si="28"/>
        <v>8330.1014761698752</v>
      </c>
      <c r="BI54" s="55">
        <f t="shared" si="28"/>
        <v>8580.0045204549715</v>
      </c>
    </row>
    <row r="55" spans="1:89" s="56" customFormat="1" x14ac:dyDescent="0.25">
      <c r="A55" s="30" t="s">
        <v>152</v>
      </c>
      <c r="B55" s="44">
        <v>0.03</v>
      </c>
      <c r="C55" s="44">
        <v>0.03</v>
      </c>
      <c r="D55" s="44">
        <v>0.03</v>
      </c>
      <c r="E55" s="44">
        <v>0.03</v>
      </c>
      <c r="F55" s="44">
        <v>0.03</v>
      </c>
      <c r="G55" s="44">
        <v>0.03</v>
      </c>
      <c r="H55" s="44">
        <v>0.03</v>
      </c>
      <c r="I55" s="44">
        <v>0.03</v>
      </c>
      <c r="J55" s="44">
        <v>0.03</v>
      </c>
      <c r="K55" s="44">
        <v>0.03</v>
      </c>
      <c r="L55" s="44">
        <v>0.03</v>
      </c>
      <c r="M55" s="44">
        <v>0.03</v>
      </c>
      <c r="N55" s="44">
        <v>0.03</v>
      </c>
      <c r="O55" s="44">
        <v>0.03</v>
      </c>
      <c r="P55" s="44">
        <v>0.03</v>
      </c>
      <c r="Q55" s="44">
        <v>0.03</v>
      </c>
      <c r="R55" s="44">
        <v>0.03</v>
      </c>
      <c r="S55" s="44">
        <v>0.03</v>
      </c>
      <c r="T55" s="44">
        <v>0.03</v>
      </c>
      <c r="U55" s="44">
        <v>0.03</v>
      </c>
      <c r="V55" s="44">
        <v>0.03</v>
      </c>
      <c r="W55" s="44">
        <v>0.03</v>
      </c>
      <c r="X55" s="44">
        <v>0.03</v>
      </c>
      <c r="Y55" s="44">
        <v>0.03</v>
      </c>
      <c r="Z55" s="44">
        <v>0.03</v>
      </c>
      <c r="AA55" s="44">
        <v>0.03</v>
      </c>
      <c r="AB55" s="44">
        <v>0.03</v>
      </c>
      <c r="AC55" s="44">
        <v>0.03</v>
      </c>
      <c r="AD55" s="44">
        <v>0.03</v>
      </c>
      <c r="AE55" s="44">
        <v>0.03</v>
      </c>
      <c r="AF55" s="44">
        <v>0.03</v>
      </c>
      <c r="AG55" s="44">
        <v>0.03</v>
      </c>
      <c r="AH55" s="44">
        <v>0.03</v>
      </c>
      <c r="AI55" s="44">
        <v>0.03</v>
      </c>
      <c r="AJ55" s="44">
        <v>0.03</v>
      </c>
      <c r="AK55" s="44">
        <v>0.03</v>
      </c>
      <c r="AL55" s="44">
        <v>0.03</v>
      </c>
      <c r="AM55" s="44">
        <v>0.03</v>
      </c>
      <c r="AN55" s="44">
        <v>0.03</v>
      </c>
      <c r="AO55" s="44">
        <v>0.03</v>
      </c>
      <c r="AP55" s="44">
        <v>0.03</v>
      </c>
      <c r="AQ55" s="44">
        <v>0.03</v>
      </c>
      <c r="AR55" s="44">
        <v>0.03</v>
      </c>
      <c r="AS55" s="44">
        <v>0.03</v>
      </c>
      <c r="AT55" s="44">
        <v>0.03</v>
      </c>
      <c r="AU55" s="44">
        <v>0.03</v>
      </c>
      <c r="AV55" s="44">
        <v>0.03</v>
      </c>
      <c r="AW55" s="44">
        <v>0.03</v>
      </c>
      <c r="AX55" s="44">
        <v>0.03</v>
      </c>
      <c r="AY55" s="44">
        <v>0.03</v>
      </c>
      <c r="AZ55" s="44">
        <v>0.03</v>
      </c>
      <c r="BA55" s="44">
        <v>0.03</v>
      </c>
      <c r="BB55" s="44">
        <v>0.03</v>
      </c>
      <c r="BC55" s="44">
        <v>0.03</v>
      </c>
      <c r="BD55" s="44">
        <v>0.03</v>
      </c>
      <c r="BE55" s="44">
        <v>0.03</v>
      </c>
      <c r="BF55" s="44">
        <v>0.03</v>
      </c>
      <c r="BG55" s="44">
        <v>0.03</v>
      </c>
      <c r="BH55" s="44">
        <v>0.03</v>
      </c>
      <c r="BI55" s="44">
        <v>0.03</v>
      </c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</row>
    <row r="56" spans="1:89" s="47" customFormat="1" x14ac:dyDescent="0.25">
      <c r="A56" s="47" t="s">
        <v>142</v>
      </c>
      <c r="B56" s="55">
        <f>'Manufacturing Setup'!$B$7/3</f>
        <v>23333.333333333332</v>
      </c>
      <c r="C56" s="55">
        <f>'Manufacturing Setup'!$B$7/3</f>
        <v>23333.333333333332</v>
      </c>
      <c r="D56" s="55">
        <f>'Manufacturing Setup'!$B$7/3</f>
        <v>23333.333333333332</v>
      </c>
      <c r="E56" s="55">
        <f>E79*E57</f>
        <v>75642.007840485341</v>
      </c>
      <c r="F56" s="55">
        <f t="shared" ref="F56:BI56" si="29">F79*F57</f>
        <v>76604.439537458602</v>
      </c>
      <c r="G56" s="55">
        <f t="shared" si="29"/>
        <v>77584.92041115668</v>
      </c>
      <c r="H56" s="55">
        <f t="shared" si="29"/>
        <v>78584.05879875012</v>
      </c>
      <c r="I56" s="55">
        <f t="shared" si="29"/>
        <v>79602.493492217385</v>
      </c>
      <c r="J56" s="55">
        <f t="shared" si="29"/>
        <v>80640.895501284103</v>
      </c>
      <c r="K56" s="55">
        <f t="shared" si="29"/>
        <v>81699.969923071287</v>
      </c>
      <c r="L56" s="55">
        <f t="shared" si="29"/>
        <v>82780.457925013834</v>
      </c>
      <c r="M56" s="55">
        <f t="shared" si="29"/>
        <v>83883.138848018789</v>
      </c>
      <c r="N56" s="55">
        <f t="shared" si="29"/>
        <v>85008.832437264093</v>
      </c>
      <c r="O56" s="55">
        <f t="shared" si="29"/>
        <v>86158.40120849722</v>
      </c>
      <c r="P56" s="55">
        <f t="shared" si="29"/>
        <v>87332.752958181794</v>
      </c>
      <c r="Q56" s="55">
        <f t="shared" si="29"/>
        <v>88532.843426357169</v>
      </c>
      <c r="R56" s="55">
        <f t="shared" si="29"/>
        <v>89759.679121627589</v>
      </c>
      <c r="S56" s="55">
        <f t="shared" si="29"/>
        <v>91014.320318281389</v>
      </c>
      <c r="T56" s="55">
        <f t="shared" si="29"/>
        <v>92297.884236162674</v>
      </c>
      <c r="U56" s="55">
        <f t="shared" si="29"/>
        <v>93611.548414577352</v>
      </c>
      <c r="V56" s="55">
        <f t="shared" si="29"/>
        <v>94956.554292218061</v>
      </c>
      <c r="W56" s="55">
        <f t="shared" si="29"/>
        <v>96334.211005836303</v>
      </c>
      <c r="X56" s="55">
        <f t="shared" si="29"/>
        <v>97745.899421183014</v>
      </c>
      <c r="Y56" s="55">
        <f t="shared" si="29"/>
        <v>99193.076410580252</v>
      </c>
      <c r="Z56" s="55">
        <f t="shared" si="29"/>
        <v>100677.27939237964</v>
      </c>
      <c r="AA56" s="55">
        <f t="shared" si="29"/>
        <v>102200.13114851539</v>
      </c>
      <c r="AB56" s="55">
        <f t="shared" si="29"/>
        <v>103763.34493736671</v>
      </c>
      <c r="AC56" s="55">
        <f t="shared" si="29"/>
        <v>105368.72992021989</v>
      </c>
      <c r="AD56" s="55">
        <f t="shared" si="29"/>
        <v>107018.19692075854</v>
      </c>
      <c r="AE56" s="55">
        <f t="shared" si="29"/>
        <v>108713.76453822214</v>
      </c>
      <c r="AF56" s="55">
        <f t="shared" si="29"/>
        <v>110457.5656361626</v>
      </c>
      <c r="AG56" s="55">
        <f t="shared" si="29"/>
        <v>112251.85423009392</v>
      </c>
      <c r="AH56" s="55">
        <f t="shared" si="29"/>
        <v>114099.01279878663</v>
      </c>
      <c r="AI56" s="55">
        <f t="shared" si="29"/>
        <v>116001.56004550302</v>
      </c>
      <c r="AJ56" s="55">
        <f t="shared" si="29"/>
        <v>117962.15913711197</v>
      </c>
      <c r="AK56" s="55">
        <f t="shared" si="29"/>
        <v>119983.62645076838</v>
      </c>
      <c r="AL56" s="55">
        <f t="shared" si="29"/>
        <v>122068.94085969689</v>
      </c>
      <c r="AM56" s="55">
        <f t="shared" si="29"/>
        <v>124221.25359159257</v>
      </c>
      <c r="AN56" s="55">
        <f t="shared" si="29"/>
        <v>126443.89869524712</v>
      </c>
      <c r="AO56" s="55">
        <f t="shared" si="29"/>
        <v>128740.40415323726</v>
      </c>
      <c r="AP56" s="55">
        <f t="shared" si="29"/>
        <v>131114.50368087951</v>
      </c>
      <c r="AQ56" s="55">
        <f t="shared" si="29"/>
        <v>133570.14925417522</v>
      </c>
      <c r="AR56" s="55">
        <f t="shared" si="29"/>
        <v>136111.52441214316</v>
      </c>
      <c r="AS56" s="55">
        <f t="shared" si="29"/>
        <v>138743.0583817827</v>
      </c>
      <c r="AT56" s="55">
        <f t="shared" si="29"/>
        <v>141469.44107693571</v>
      </c>
      <c r="AU56" s="55">
        <f t="shared" si="29"/>
        <v>144295.63902552729</v>
      </c>
      <c r="AV56" s="55">
        <f t="shared" si="29"/>
        <v>147226.91228308607</v>
      </c>
      <c r="AW56" s="55">
        <f t="shared" si="29"/>
        <v>150268.83239407424</v>
      </c>
      <c r="AX56" s="55">
        <f t="shared" si="29"/>
        <v>153427.3014664237</v>
      </c>
      <c r="AY56" s="55">
        <f t="shared" si="29"/>
        <v>156708.5724287779</v>
      </c>
      <c r="AZ56" s="55">
        <f t="shared" si="29"/>
        <v>160119.27054430687</v>
      </c>
      <c r="BA56" s="55">
        <f t="shared" si="29"/>
        <v>163666.41625960244</v>
      </c>
      <c r="BB56" s="55">
        <f t="shared" si="29"/>
        <v>167357.44947209879</v>
      </c>
      <c r="BC56" s="55">
        <f t="shared" si="29"/>
        <v>171200.25530470736</v>
      </c>
      <c r="BD56" s="55">
        <f t="shared" si="29"/>
        <v>175203.19148193757</v>
      </c>
      <c r="BE56" s="55">
        <f t="shared" si="29"/>
        <v>179375.1174077043</v>
      </c>
      <c r="BF56" s="55">
        <f t="shared" si="29"/>
        <v>183725.4250513344</v>
      </c>
      <c r="BG56" s="55">
        <f t="shared" si="29"/>
        <v>188264.07175498907</v>
      </c>
      <c r="BH56" s="55">
        <f t="shared" si="29"/>
        <v>193001.61508285464</v>
      </c>
      <c r="BI56" s="55">
        <f t="shared" si="29"/>
        <v>197949.24984003717</v>
      </c>
    </row>
    <row r="57" spans="1:89" s="56" customFormat="1" x14ac:dyDescent="0.25">
      <c r="A57" s="59" t="s">
        <v>227</v>
      </c>
      <c r="B57" s="71"/>
      <c r="C57" s="71"/>
      <c r="D57" s="71"/>
      <c r="E57" s="44">
        <v>0.1</v>
      </c>
      <c r="F57" s="44">
        <v>0.1</v>
      </c>
      <c r="G57" s="44">
        <v>0.1</v>
      </c>
      <c r="H57" s="44">
        <v>0.1</v>
      </c>
      <c r="I57" s="44">
        <v>0.1</v>
      </c>
      <c r="J57" s="44">
        <v>0.1</v>
      </c>
      <c r="K57" s="44">
        <v>0.1</v>
      </c>
      <c r="L57" s="44">
        <v>0.1</v>
      </c>
      <c r="M57" s="44">
        <v>0.1</v>
      </c>
      <c r="N57" s="44">
        <v>0.1</v>
      </c>
      <c r="O57" s="44">
        <v>0.1</v>
      </c>
      <c r="P57" s="44">
        <v>0.1</v>
      </c>
      <c r="Q57" s="44">
        <v>0.1</v>
      </c>
      <c r="R57" s="44">
        <v>0.1</v>
      </c>
      <c r="S57" s="44">
        <v>0.1</v>
      </c>
      <c r="T57" s="44">
        <v>0.1</v>
      </c>
      <c r="U57" s="44">
        <v>0.1</v>
      </c>
      <c r="V57" s="44">
        <v>0.1</v>
      </c>
      <c r="W57" s="44">
        <v>0.1</v>
      </c>
      <c r="X57" s="44">
        <v>0.1</v>
      </c>
      <c r="Y57" s="44">
        <v>0.1</v>
      </c>
      <c r="Z57" s="44">
        <v>0.1</v>
      </c>
      <c r="AA57" s="44">
        <v>0.1</v>
      </c>
      <c r="AB57" s="44">
        <v>0.1</v>
      </c>
      <c r="AC57" s="44">
        <v>0.1</v>
      </c>
      <c r="AD57" s="44">
        <v>0.1</v>
      </c>
      <c r="AE57" s="44">
        <v>0.1</v>
      </c>
      <c r="AF57" s="44">
        <v>0.1</v>
      </c>
      <c r="AG57" s="44">
        <v>0.1</v>
      </c>
      <c r="AH57" s="44">
        <v>0.1</v>
      </c>
      <c r="AI57" s="44">
        <v>0.1</v>
      </c>
      <c r="AJ57" s="44">
        <v>0.1</v>
      </c>
      <c r="AK57" s="44">
        <v>0.1</v>
      </c>
      <c r="AL57" s="44">
        <v>0.1</v>
      </c>
      <c r="AM57" s="44">
        <v>0.1</v>
      </c>
      <c r="AN57" s="44">
        <v>0.1</v>
      </c>
      <c r="AO57" s="44">
        <v>0.1</v>
      </c>
      <c r="AP57" s="44">
        <v>0.1</v>
      </c>
      <c r="AQ57" s="44">
        <v>0.1</v>
      </c>
      <c r="AR57" s="44">
        <v>0.1</v>
      </c>
      <c r="AS57" s="44">
        <v>0.1</v>
      </c>
      <c r="AT57" s="44">
        <v>0.1</v>
      </c>
      <c r="AU57" s="44">
        <v>0.1</v>
      </c>
      <c r="AV57" s="44">
        <v>0.1</v>
      </c>
      <c r="AW57" s="44">
        <v>0.1</v>
      </c>
      <c r="AX57" s="44">
        <v>0.1</v>
      </c>
      <c r="AY57" s="44">
        <v>0.1</v>
      </c>
      <c r="AZ57" s="44">
        <v>0.1</v>
      </c>
      <c r="BA57" s="44">
        <v>0.1</v>
      </c>
      <c r="BB57" s="44">
        <v>0.1</v>
      </c>
      <c r="BC57" s="44">
        <v>0.1</v>
      </c>
      <c r="BD57" s="44">
        <v>0.1</v>
      </c>
      <c r="BE57" s="44">
        <v>0.1</v>
      </c>
      <c r="BF57" s="44">
        <v>0.1</v>
      </c>
      <c r="BG57" s="44">
        <v>0.1</v>
      </c>
      <c r="BH57" s="44">
        <v>0.1</v>
      </c>
      <c r="BI57" s="44">
        <v>0.1</v>
      </c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</row>
    <row r="58" spans="1:89" s="47" customFormat="1" x14ac:dyDescent="0.25">
      <c r="A58" s="47" t="s">
        <v>143</v>
      </c>
      <c r="B58" s="55">
        <f>SalaryModule!B28</f>
        <v>46166.666666666664</v>
      </c>
      <c r="C58" s="55">
        <f>SalaryModule!C28</f>
        <v>57966.666666666664</v>
      </c>
      <c r="D58" s="55">
        <f>SalaryModule!D28</f>
        <v>80666.666666666672</v>
      </c>
      <c r="E58" s="55">
        <f>SalaryModule!E28</f>
        <v>101316.66666666667</v>
      </c>
      <c r="F58" s="55">
        <f>SalaryModule!F28</f>
        <v>101316.66666666667</v>
      </c>
      <c r="G58" s="55">
        <f>SalaryModule!G28</f>
        <v>101316.66666666667</v>
      </c>
      <c r="H58" s="55">
        <f>SalaryModule!H28</f>
        <v>112133.33333333334</v>
      </c>
      <c r="I58" s="55">
        <f>SalaryModule!I28</f>
        <v>112133.33333333334</v>
      </c>
      <c r="J58" s="55">
        <f>SalaryModule!J28</f>
        <v>112133.33333333334</v>
      </c>
      <c r="K58" s="55">
        <f>SalaryModule!K28</f>
        <v>112133.33333333334</v>
      </c>
      <c r="L58" s="55">
        <f>SalaryModule!L28</f>
        <v>112133.33333333334</v>
      </c>
      <c r="M58" s="55">
        <f>SalaryModule!M28</f>
        <v>112133.33333333334</v>
      </c>
      <c r="N58" s="55">
        <f>SalaryModule!N28</f>
        <v>112133.33333333334</v>
      </c>
      <c r="O58" s="55">
        <f>SalaryModule!O28</f>
        <v>112133.33333333334</v>
      </c>
      <c r="P58" s="55">
        <f>SalaryModule!P28</f>
        <v>112133.33333333334</v>
      </c>
      <c r="Q58" s="55">
        <f>SalaryModule!Q28</f>
        <v>112133.33333333334</v>
      </c>
      <c r="R58" s="55">
        <f>SalaryModule!R28</f>
        <v>112133.33333333334</v>
      </c>
      <c r="S58" s="55">
        <f>SalaryModule!S28</f>
        <v>112133.33333333334</v>
      </c>
      <c r="T58" s="55">
        <f>SalaryModule!T28</f>
        <v>112133.33333333334</v>
      </c>
      <c r="U58" s="55">
        <f>SalaryModule!U28</f>
        <v>112133.33333333334</v>
      </c>
      <c r="V58" s="55">
        <f>SalaryModule!V28</f>
        <v>112133.33333333334</v>
      </c>
      <c r="W58" s="55">
        <f>SalaryModule!W28</f>
        <v>112133.33333333334</v>
      </c>
      <c r="X58" s="55">
        <f>SalaryModule!X28</f>
        <v>112133.33333333334</v>
      </c>
      <c r="Y58" s="55">
        <f>SalaryModule!Y28</f>
        <v>112133.33333333334</v>
      </c>
      <c r="Z58" s="55">
        <f>SalaryModule!Z28</f>
        <v>112133.33333333334</v>
      </c>
      <c r="AA58" s="55">
        <f>SalaryModule!AA28</f>
        <v>112133.33333333334</v>
      </c>
      <c r="AB58" s="55">
        <f>SalaryModule!AB28</f>
        <v>112133.33333333334</v>
      </c>
      <c r="AC58" s="55">
        <f>SalaryModule!AC28</f>
        <v>112133.33333333334</v>
      </c>
      <c r="AD58" s="55">
        <f>SalaryModule!AD28</f>
        <v>112133.33333333334</v>
      </c>
      <c r="AE58" s="55">
        <f>SalaryModule!AE28</f>
        <v>112133.33333333334</v>
      </c>
      <c r="AF58" s="55">
        <f>SalaryModule!AF28</f>
        <v>112133.33333333334</v>
      </c>
      <c r="AG58" s="55">
        <f>SalaryModule!AG28</f>
        <v>112133.33333333334</v>
      </c>
      <c r="AH58" s="55">
        <f>SalaryModule!AH28</f>
        <v>112133.33333333334</v>
      </c>
      <c r="AI58" s="55">
        <f>SalaryModule!AI28</f>
        <v>112133.33333333334</v>
      </c>
      <c r="AJ58" s="55">
        <f>SalaryModule!AJ28</f>
        <v>112133.33333333334</v>
      </c>
      <c r="AK58" s="55">
        <f>SalaryModule!AK28</f>
        <v>112133.33333333334</v>
      </c>
      <c r="AL58" s="55">
        <f>SalaryModule!AL28</f>
        <v>112133.33333333334</v>
      </c>
      <c r="AM58" s="55">
        <f>SalaryModule!AM28</f>
        <v>112133.33333333334</v>
      </c>
      <c r="AN58" s="55">
        <f>SalaryModule!AN28</f>
        <v>112133.33333333334</v>
      </c>
      <c r="AO58" s="55">
        <f>SalaryModule!AO28</f>
        <v>112133.33333333334</v>
      </c>
      <c r="AP58" s="55">
        <f>SalaryModule!AP28</f>
        <v>112133.33333333334</v>
      </c>
      <c r="AQ58" s="55">
        <f>SalaryModule!AQ28</f>
        <v>112133.33333333334</v>
      </c>
      <c r="AR58" s="55">
        <f>SalaryModule!AR28</f>
        <v>112133.33333333334</v>
      </c>
      <c r="AS58" s="55">
        <f>SalaryModule!AS28</f>
        <v>112133.33333333334</v>
      </c>
      <c r="AT58" s="55">
        <f>SalaryModule!AT28</f>
        <v>112133.33333333334</v>
      </c>
      <c r="AU58" s="55">
        <f>SalaryModule!AU28</f>
        <v>112133.33333333334</v>
      </c>
      <c r="AV58" s="55">
        <f>SalaryModule!AV28</f>
        <v>112133.33333333334</v>
      </c>
      <c r="AW58" s="55">
        <f>SalaryModule!AW28</f>
        <v>112133.33333333334</v>
      </c>
      <c r="AX58" s="55">
        <f>SalaryModule!AX28</f>
        <v>112133.33333333334</v>
      </c>
      <c r="AY58" s="55">
        <f>SalaryModule!AY28</f>
        <v>112133.33333333334</v>
      </c>
      <c r="AZ58" s="55">
        <f>SalaryModule!AZ28</f>
        <v>112133.33333333334</v>
      </c>
      <c r="BA58" s="55">
        <f>SalaryModule!BA28</f>
        <v>112133.33333333334</v>
      </c>
      <c r="BB58" s="55">
        <f>SalaryModule!BB28</f>
        <v>112133.33333333334</v>
      </c>
      <c r="BC58" s="55">
        <f>SalaryModule!BC28</f>
        <v>112133.33333333334</v>
      </c>
      <c r="BD58" s="55">
        <f>SalaryModule!BD28</f>
        <v>112133.33333333334</v>
      </c>
      <c r="BE58" s="55">
        <f>SalaryModule!BE28</f>
        <v>112133.33333333334</v>
      </c>
      <c r="BF58" s="55">
        <f>SalaryModule!BF28</f>
        <v>112133.33333333334</v>
      </c>
      <c r="BG58" s="55">
        <f>SalaryModule!BG28</f>
        <v>112133.33333333334</v>
      </c>
      <c r="BH58" s="55">
        <f>SalaryModule!BH28</f>
        <v>112133.33333333334</v>
      </c>
      <c r="BI58" s="55">
        <f>SalaryModule!BI28</f>
        <v>112133.33333333334</v>
      </c>
    </row>
    <row r="59" spans="1:89" s="47" customFormat="1" x14ac:dyDescent="0.25">
      <c r="A59" s="47" t="s">
        <v>144</v>
      </c>
      <c r="B59" s="19">
        <v>1000</v>
      </c>
      <c r="C59" s="55">
        <f>B59*(1+B60)</f>
        <v>1010</v>
      </c>
      <c r="D59" s="55">
        <f t="shared" ref="D59:BI59" si="30">C59*(1+C60)</f>
        <v>1020.1</v>
      </c>
      <c r="E59" s="55">
        <f t="shared" si="30"/>
        <v>1030.3009999999999</v>
      </c>
      <c r="F59" s="55">
        <f t="shared" si="30"/>
        <v>1040.60401</v>
      </c>
      <c r="G59" s="55">
        <f t="shared" si="30"/>
        <v>1051.0100500999999</v>
      </c>
      <c r="H59" s="55">
        <f t="shared" si="30"/>
        <v>1061.5201506009998</v>
      </c>
      <c r="I59" s="55">
        <f t="shared" si="30"/>
        <v>1072.1353521070098</v>
      </c>
      <c r="J59" s="55">
        <f t="shared" si="30"/>
        <v>1082.8567056280799</v>
      </c>
      <c r="K59" s="55">
        <f t="shared" si="30"/>
        <v>1093.6852726843608</v>
      </c>
      <c r="L59" s="55">
        <f t="shared" si="30"/>
        <v>1104.6221254112045</v>
      </c>
      <c r="M59" s="55">
        <f t="shared" si="30"/>
        <v>1115.6683466653164</v>
      </c>
      <c r="N59" s="55">
        <f t="shared" si="30"/>
        <v>1126.8250301319697</v>
      </c>
      <c r="O59" s="55">
        <f t="shared" si="30"/>
        <v>1138.0932804332895</v>
      </c>
      <c r="P59" s="55">
        <f t="shared" si="30"/>
        <v>1149.4742132376223</v>
      </c>
      <c r="Q59" s="55">
        <f t="shared" si="30"/>
        <v>1160.9689553699984</v>
      </c>
      <c r="R59" s="55">
        <f t="shared" si="30"/>
        <v>1172.5786449236984</v>
      </c>
      <c r="S59" s="55">
        <f t="shared" si="30"/>
        <v>1184.3044313729354</v>
      </c>
      <c r="T59" s="55">
        <f t="shared" si="30"/>
        <v>1196.1474756866646</v>
      </c>
      <c r="U59" s="55">
        <f t="shared" si="30"/>
        <v>1208.1089504435313</v>
      </c>
      <c r="V59" s="55">
        <f t="shared" si="30"/>
        <v>1220.1900399479666</v>
      </c>
      <c r="W59" s="55">
        <f t="shared" si="30"/>
        <v>1232.3919403474463</v>
      </c>
      <c r="X59" s="55">
        <f t="shared" si="30"/>
        <v>1244.7158597509208</v>
      </c>
      <c r="Y59" s="55">
        <f t="shared" si="30"/>
        <v>1257.1630183484301</v>
      </c>
      <c r="Z59" s="55">
        <f t="shared" si="30"/>
        <v>1269.7346485319144</v>
      </c>
      <c r="AA59" s="55">
        <f t="shared" si="30"/>
        <v>1282.4319950172337</v>
      </c>
      <c r="AB59" s="55">
        <f t="shared" si="30"/>
        <v>1295.2563149674061</v>
      </c>
      <c r="AC59" s="55">
        <f t="shared" si="30"/>
        <v>1308.2088781170801</v>
      </c>
      <c r="AD59" s="55">
        <f t="shared" si="30"/>
        <v>1321.2909668982509</v>
      </c>
      <c r="AE59" s="55">
        <f t="shared" si="30"/>
        <v>1334.5038765672334</v>
      </c>
      <c r="AF59" s="55">
        <f t="shared" si="30"/>
        <v>1347.8489153329058</v>
      </c>
      <c r="AG59" s="55">
        <f t="shared" si="30"/>
        <v>1361.3274044862349</v>
      </c>
      <c r="AH59" s="55">
        <f t="shared" si="30"/>
        <v>1374.9406785310973</v>
      </c>
      <c r="AI59" s="55">
        <f t="shared" si="30"/>
        <v>1388.6900853164084</v>
      </c>
      <c r="AJ59" s="55">
        <f t="shared" si="30"/>
        <v>1402.5769861695726</v>
      </c>
      <c r="AK59" s="55">
        <f t="shared" si="30"/>
        <v>1416.6027560312684</v>
      </c>
      <c r="AL59" s="55">
        <f t="shared" si="30"/>
        <v>1430.768783591581</v>
      </c>
      <c r="AM59" s="55">
        <f t="shared" si="30"/>
        <v>1445.0764714274969</v>
      </c>
      <c r="AN59" s="55">
        <f t="shared" si="30"/>
        <v>1459.5272361417719</v>
      </c>
      <c r="AO59" s="55">
        <f t="shared" si="30"/>
        <v>1474.1225085031897</v>
      </c>
      <c r="AP59" s="55">
        <f t="shared" si="30"/>
        <v>1488.8637335882215</v>
      </c>
      <c r="AQ59" s="55">
        <f t="shared" si="30"/>
        <v>1503.7523709241038</v>
      </c>
      <c r="AR59" s="55">
        <f t="shared" si="30"/>
        <v>1518.7898946333448</v>
      </c>
      <c r="AS59" s="55">
        <f t="shared" si="30"/>
        <v>1533.9777935796783</v>
      </c>
      <c r="AT59" s="55">
        <f t="shared" si="30"/>
        <v>1549.317571515475</v>
      </c>
      <c r="AU59" s="55">
        <f t="shared" si="30"/>
        <v>1564.8107472306299</v>
      </c>
      <c r="AV59" s="55">
        <f t="shared" si="30"/>
        <v>1580.4588547029362</v>
      </c>
      <c r="AW59" s="55">
        <f t="shared" si="30"/>
        <v>1596.2634432499656</v>
      </c>
      <c r="AX59" s="55">
        <f t="shared" si="30"/>
        <v>1612.2260776824653</v>
      </c>
      <c r="AY59" s="55">
        <f t="shared" si="30"/>
        <v>1628.3483384592901</v>
      </c>
      <c r="AZ59" s="55">
        <f t="shared" si="30"/>
        <v>1644.631821843883</v>
      </c>
      <c r="BA59" s="55">
        <f t="shared" si="30"/>
        <v>1661.0781400623218</v>
      </c>
      <c r="BB59" s="55">
        <f t="shared" si="30"/>
        <v>1677.688921462945</v>
      </c>
      <c r="BC59" s="55">
        <f t="shared" si="30"/>
        <v>1694.4658106775744</v>
      </c>
      <c r="BD59" s="55">
        <f t="shared" si="30"/>
        <v>1711.4104687843501</v>
      </c>
      <c r="BE59" s="55">
        <f t="shared" si="30"/>
        <v>1728.5245734721937</v>
      </c>
      <c r="BF59" s="55">
        <f t="shared" si="30"/>
        <v>1745.8098192069156</v>
      </c>
      <c r="BG59" s="55">
        <f t="shared" si="30"/>
        <v>1763.2679173989848</v>
      </c>
      <c r="BH59" s="55">
        <f t="shared" si="30"/>
        <v>1780.9005965729746</v>
      </c>
      <c r="BI59" s="55">
        <f t="shared" si="30"/>
        <v>1798.7096025387043</v>
      </c>
    </row>
    <row r="60" spans="1:89" s="56" customFormat="1" x14ac:dyDescent="0.25">
      <c r="A60" s="30" t="s">
        <v>152</v>
      </c>
      <c r="B60" s="44">
        <v>0.01</v>
      </c>
      <c r="C60" s="44">
        <v>0.01</v>
      </c>
      <c r="D60" s="44">
        <v>0.01</v>
      </c>
      <c r="E60" s="44">
        <v>0.01</v>
      </c>
      <c r="F60" s="44">
        <v>0.01</v>
      </c>
      <c r="G60" s="44">
        <v>0.01</v>
      </c>
      <c r="H60" s="44">
        <v>0.01</v>
      </c>
      <c r="I60" s="44">
        <v>0.01</v>
      </c>
      <c r="J60" s="44">
        <v>0.01</v>
      </c>
      <c r="K60" s="44">
        <v>0.01</v>
      </c>
      <c r="L60" s="44">
        <v>0.01</v>
      </c>
      <c r="M60" s="44">
        <v>0.01</v>
      </c>
      <c r="N60" s="44">
        <v>0.01</v>
      </c>
      <c r="O60" s="44">
        <v>0.01</v>
      </c>
      <c r="P60" s="44">
        <v>0.01</v>
      </c>
      <c r="Q60" s="44">
        <v>0.01</v>
      </c>
      <c r="R60" s="44">
        <v>0.01</v>
      </c>
      <c r="S60" s="44">
        <v>0.01</v>
      </c>
      <c r="T60" s="44">
        <v>0.01</v>
      </c>
      <c r="U60" s="44">
        <v>0.01</v>
      </c>
      <c r="V60" s="44">
        <v>0.01</v>
      </c>
      <c r="W60" s="44">
        <v>0.01</v>
      </c>
      <c r="X60" s="44">
        <v>0.01</v>
      </c>
      <c r="Y60" s="44">
        <v>0.01</v>
      </c>
      <c r="Z60" s="44">
        <v>0.01</v>
      </c>
      <c r="AA60" s="44">
        <v>0.01</v>
      </c>
      <c r="AB60" s="44">
        <v>0.01</v>
      </c>
      <c r="AC60" s="44">
        <v>0.01</v>
      </c>
      <c r="AD60" s="44">
        <v>0.01</v>
      </c>
      <c r="AE60" s="44">
        <v>0.01</v>
      </c>
      <c r="AF60" s="44">
        <v>0.01</v>
      </c>
      <c r="AG60" s="44">
        <v>0.01</v>
      </c>
      <c r="AH60" s="44">
        <v>0.01</v>
      </c>
      <c r="AI60" s="44">
        <v>0.01</v>
      </c>
      <c r="AJ60" s="44">
        <v>0.01</v>
      </c>
      <c r="AK60" s="44">
        <v>0.01</v>
      </c>
      <c r="AL60" s="44">
        <v>0.01</v>
      </c>
      <c r="AM60" s="44">
        <v>0.01</v>
      </c>
      <c r="AN60" s="44">
        <v>0.01</v>
      </c>
      <c r="AO60" s="44">
        <v>0.01</v>
      </c>
      <c r="AP60" s="44">
        <v>0.01</v>
      </c>
      <c r="AQ60" s="44">
        <v>0.01</v>
      </c>
      <c r="AR60" s="44">
        <v>0.01</v>
      </c>
      <c r="AS60" s="44">
        <v>0.01</v>
      </c>
      <c r="AT60" s="44">
        <v>0.01</v>
      </c>
      <c r="AU60" s="44">
        <v>0.01</v>
      </c>
      <c r="AV60" s="44">
        <v>0.01</v>
      </c>
      <c r="AW60" s="44">
        <v>0.01</v>
      </c>
      <c r="AX60" s="44">
        <v>0.01</v>
      </c>
      <c r="AY60" s="44">
        <v>0.01</v>
      </c>
      <c r="AZ60" s="44">
        <v>0.01</v>
      </c>
      <c r="BA60" s="44">
        <v>0.01</v>
      </c>
      <c r="BB60" s="44">
        <v>0.01</v>
      </c>
      <c r="BC60" s="44">
        <v>0.01</v>
      </c>
      <c r="BD60" s="44">
        <v>0.01</v>
      </c>
      <c r="BE60" s="44">
        <v>0.01</v>
      </c>
      <c r="BF60" s="44">
        <v>0.01</v>
      </c>
      <c r="BG60" s="44">
        <v>0.01</v>
      </c>
      <c r="BH60" s="44">
        <v>0.01</v>
      </c>
      <c r="BI60" s="44">
        <v>0.01</v>
      </c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</row>
    <row r="61" spans="1:89" s="47" customFormat="1" x14ac:dyDescent="0.25">
      <c r="A61" s="47" t="s">
        <v>150</v>
      </c>
      <c r="B61" s="19">
        <v>500</v>
      </c>
      <c r="C61" s="55">
        <f>B61*(1+B62)</f>
        <v>505</v>
      </c>
      <c r="D61" s="55">
        <f t="shared" ref="D61:BI61" si="31">C61*(1+C62)</f>
        <v>510.05</v>
      </c>
      <c r="E61" s="55">
        <f t="shared" si="31"/>
        <v>515.15049999999997</v>
      </c>
      <c r="F61" s="55">
        <f t="shared" si="31"/>
        <v>520.30200500000001</v>
      </c>
      <c r="G61" s="55">
        <f t="shared" si="31"/>
        <v>525.50502504999997</v>
      </c>
      <c r="H61" s="55">
        <f t="shared" si="31"/>
        <v>530.76007530049992</v>
      </c>
      <c r="I61" s="55">
        <f t="shared" si="31"/>
        <v>536.0676760535049</v>
      </c>
      <c r="J61" s="55">
        <f t="shared" si="31"/>
        <v>541.42835281403995</v>
      </c>
      <c r="K61" s="55">
        <f t="shared" si="31"/>
        <v>546.84263634218041</v>
      </c>
      <c r="L61" s="55">
        <f t="shared" si="31"/>
        <v>552.31106270560224</v>
      </c>
      <c r="M61" s="55">
        <f t="shared" si="31"/>
        <v>557.83417333265822</v>
      </c>
      <c r="N61" s="55">
        <f t="shared" si="31"/>
        <v>563.41251506598485</v>
      </c>
      <c r="O61" s="55">
        <f t="shared" si="31"/>
        <v>569.04664021664473</v>
      </c>
      <c r="P61" s="55">
        <f t="shared" si="31"/>
        <v>574.73710661881114</v>
      </c>
      <c r="Q61" s="55">
        <f t="shared" si="31"/>
        <v>580.48447768499921</v>
      </c>
      <c r="R61" s="55">
        <f t="shared" si="31"/>
        <v>586.28932246184922</v>
      </c>
      <c r="S61" s="55">
        <f t="shared" si="31"/>
        <v>592.15221568646768</v>
      </c>
      <c r="T61" s="55">
        <f t="shared" si="31"/>
        <v>598.07373784333231</v>
      </c>
      <c r="U61" s="55">
        <f t="shared" si="31"/>
        <v>604.05447522176564</v>
      </c>
      <c r="V61" s="55">
        <f t="shared" si="31"/>
        <v>610.09501997398331</v>
      </c>
      <c r="W61" s="55">
        <f t="shared" si="31"/>
        <v>616.19597017372314</v>
      </c>
      <c r="X61" s="55">
        <f t="shared" si="31"/>
        <v>622.3579298754604</v>
      </c>
      <c r="Y61" s="55">
        <f t="shared" si="31"/>
        <v>628.58150917421506</v>
      </c>
      <c r="Z61" s="55">
        <f t="shared" si="31"/>
        <v>634.86732426595722</v>
      </c>
      <c r="AA61" s="55">
        <f t="shared" si="31"/>
        <v>641.21599750861685</v>
      </c>
      <c r="AB61" s="55">
        <f t="shared" si="31"/>
        <v>647.62815748370303</v>
      </c>
      <c r="AC61" s="55">
        <f t="shared" si="31"/>
        <v>654.10443905854004</v>
      </c>
      <c r="AD61" s="55">
        <f t="shared" si="31"/>
        <v>660.64548344912544</v>
      </c>
      <c r="AE61" s="55">
        <f t="shared" si="31"/>
        <v>667.25193828361671</v>
      </c>
      <c r="AF61" s="55">
        <f t="shared" si="31"/>
        <v>673.92445766645289</v>
      </c>
      <c r="AG61" s="55">
        <f t="shared" si="31"/>
        <v>680.66370224311743</v>
      </c>
      <c r="AH61" s="55">
        <f t="shared" si="31"/>
        <v>687.47033926554866</v>
      </c>
      <c r="AI61" s="55">
        <f t="shared" si="31"/>
        <v>694.34504265820419</v>
      </c>
      <c r="AJ61" s="55">
        <f t="shared" si="31"/>
        <v>701.2884930847863</v>
      </c>
      <c r="AK61" s="55">
        <f t="shared" si="31"/>
        <v>708.30137801563421</v>
      </c>
      <c r="AL61" s="55">
        <f t="shared" si="31"/>
        <v>715.38439179579052</v>
      </c>
      <c r="AM61" s="55">
        <f t="shared" si="31"/>
        <v>722.53823571374846</v>
      </c>
      <c r="AN61" s="55">
        <f t="shared" si="31"/>
        <v>729.76361807088597</v>
      </c>
      <c r="AO61" s="55">
        <f t="shared" si="31"/>
        <v>737.06125425159485</v>
      </c>
      <c r="AP61" s="55">
        <f t="shared" si="31"/>
        <v>744.43186679411076</v>
      </c>
      <c r="AQ61" s="55">
        <f t="shared" si="31"/>
        <v>751.87618546205192</v>
      </c>
      <c r="AR61" s="55">
        <f t="shared" si="31"/>
        <v>759.39494731667241</v>
      </c>
      <c r="AS61" s="55">
        <f t="shared" si="31"/>
        <v>766.98889678983915</v>
      </c>
      <c r="AT61" s="55">
        <f t="shared" si="31"/>
        <v>774.65878575773752</v>
      </c>
      <c r="AU61" s="55">
        <f t="shared" si="31"/>
        <v>782.40537361531494</v>
      </c>
      <c r="AV61" s="55">
        <f t="shared" si="31"/>
        <v>790.22942735146808</v>
      </c>
      <c r="AW61" s="55">
        <f t="shared" si="31"/>
        <v>798.13172162498279</v>
      </c>
      <c r="AX61" s="55">
        <f t="shared" si="31"/>
        <v>806.11303884123265</v>
      </c>
      <c r="AY61" s="55">
        <f t="shared" si="31"/>
        <v>814.17416922964503</v>
      </c>
      <c r="AZ61" s="55">
        <f t="shared" si="31"/>
        <v>822.31591092194151</v>
      </c>
      <c r="BA61" s="55">
        <f t="shared" si="31"/>
        <v>830.53907003116092</v>
      </c>
      <c r="BB61" s="55">
        <f t="shared" si="31"/>
        <v>838.84446073147251</v>
      </c>
      <c r="BC61" s="55">
        <f t="shared" si="31"/>
        <v>847.23290533878719</v>
      </c>
      <c r="BD61" s="55">
        <f t="shared" si="31"/>
        <v>855.70523439217504</v>
      </c>
      <c r="BE61" s="55">
        <f t="shared" si="31"/>
        <v>864.26228673609683</v>
      </c>
      <c r="BF61" s="55">
        <f t="shared" si="31"/>
        <v>872.90490960345778</v>
      </c>
      <c r="BG61" s="55">
        <f t="shared" si="31"/>
        <v>881.63395869949238</v>
      </c>
      <c r="BH61" s="55">
        <f t="shared" si="31"/>
        <v>890.45029828648728</v>
      </c>
      <c r="BI61" s="55">
        <f t="shared" si="31"/>
        <v>899.35480126935215</v>
      </c>
    </row>
    <row r="62" spans="1:89" s="56" customFormat="1" x14ac:dyDescent="0.25">
      <c r="A62" s="30" t="s">
        <v>152</v>
      </c>
      <c r="B62" s="44">
        <v>0.01</v>
      </c>
      <c r="C62" s="44">
        <v>0.01</v>
      </c>
      <c r="D62" s="44">
        <v>0.01</v>
      </c>
      <c r="E62" s="44">
        <v>0.01</v>
      </c>
      <c r="F62" s="44">
        <v>0.01</v>
      </c>
      <c r="G62" s="44">
        <v>0.01</v>
      </c>
      <c r="H62" s="44">
        <v>0.01</v>
      </c>
      <c r="I62" s="44">
        <v>0.01</v>
      </c>
      <c r="J62" s="44">
        <v>0.01</v>
      </c>
      <c r="K62" s="44">
        <v>0.01</v>
      </c>
      <c r="L62" s="44">
        <v>0.01</v>
      </c>
      <c r="M62" s="44">
        <v>0.01</v>
      </c>
      <c r="N62" s="44">
        <v>0.01</v>
      </c>
      <c r="O62" s="44">
        <v>0.01</v>
      </c>
      <c r="P62" s="44">
        <v>0.01</v>
      </c>
      <c r="Q62" s="44">
        <v>0.01</v>
      </c>
      <c r="R62" s="44">
        <v>0.01</v>
      </c>
      <c r="S62" s="44">
        <v>0.01</v>
      </c>
      <c r="T62" s="44">
        <v>0.01</v>
      </c>
      <c r="U62" s="44">
        <v>0.01</v>
      </c>
      <c r="V62" s="44">
        <v>0.01</v>
      </c>
      <c r="W62" s="44">
        <v>0.01</v>
      </c>
      <c r="X62" s="44">
        <v>0.01</v>
      </c>
      <c r="Y62" s="44">
        <v>0.01</v>
      </c>
      <c r="Z62" s="44">
        <v>0.01</v>
      </c>
      <c r="AA62" s="44">
        <v>0.01</v>
      </c>
      <c r="AB62" s="44">
        <v>0.01</v>
      </c>
      <c r="AC62" s="44">
        <v>0.01</v>
      </c>
      <c r="AD62" s="44">
        <v>0.01</v>
      </c>
      <c r="AE62" s="44">
        <v>0.01</v>
      </c>
      <c r="AF62" s="44">
        <v>0.01</v>
      </c>
      <c r="AG62" s="44">
        <v>0.01</v>
      </c>
      <c r="AH62" s="44">
        <v>0.01</v>
      </c>
      <c r="AI62" s="44">
        <v>0.01</v>
      </c>
      <c r="AJ62" s="44">
        <v>0.01</v>
      </c>
      <c r="AK62" s="44">
        <v>0.01</v>
      </c>
      <c r="AL62" s="44">
        <v>0.01</v>
      </c>
      <c r="AM62" s="44">
        <v>0.01</v>
      </c>
      <c r="AN62" s="44">
        <v>0.01</v>
      </c>
      <c r="AO62" s="44">
        <v>0.01</v>
      </c>
      <c r="AP62" s="44">
        <v>0.01</v>
      </c>
      <c r="AQ62" s="44">
        <v>0.01</v>
      </c>
      <c r="AR62" s="44">
        <v>0.01</v>
      </c>
      <c r="AS62" s="44">
        <v>0.01</v>
      </c>
      <c r="AT62" s="44">
        <v>0.01</v>
      </c>
      <c r="AU62" s="44">
        <v>0.01</v>
      </c>
      <c r="AV62" s="44">
        <v>0.01</v>
      </c>
      <c r="AW62" s="44">
        <v>0.01</v>
      </c>
      <c r="AX62" s="44">
        <v>0.01</v>
      </c>
      <c r="AY62" s="44">
        <v>0.01</v>
      </c>
      <c r="AZ62" s="44">
        <v>0.01</v>
      </c>
      <c r="BA62" s="44">
        <v>0.01</v>
      </c>
      <c r="BB62" s="44">
        <v>0.01</v>
      </c>
      <c r="BC62" s="44">
        <v>0.01</v>
      </c>
      <c r="BD62" s="44">
        <v>0.01</v>
      </c>
      <c r="BE62" s="44">
        <v>0.01</v>
      </c>
      <c r="BF62" s="44">
        <v>0.01</v>
      </c>
      <c r="BG62" s="44">
        <v>0.01</v>
      </c>
      <c r="BH62" s="44">
        <v>0.01</v>
      </c>
      <c r="BI62" s="44">
        <v>0.01</v>
      </c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</row>
    <row r="63" spans="1:89" s="47" customFormat="1" x14ac:dyDescent="0.25">
      <c r="A63" s="47" t="s">
        <v>21</v>
      </c>
      <c r="B63" s="19">
        <v>2000</v>
      </c>
      <c r="C63" s="55">
        <f>B63*(1+B64)</f>
        <v>2020</v>
      </c>
      <c r="D63" s="55">
        <f t="shared" ref="D63:BI63" si="32">C63*(1+C64)</f>
        <v>2040.2</v>
      </c>
      <c r="E63" s="55">
        <f t="shared" si="32"/>
        <v>2060.6019999999999</v>
      </c>
      <c r="F63" s="55">
        <f t="shared" si="32"/>
        <v>2081.20802</v>
      </c>
      <c r="G63" s="55">
        <f t="shared" si="32"/>
        <v>2102.0201001999999</v>
      </c>
      <c r="H63" s="55">
        <f t="shared" si="32"/>
        <v>2123.0403012019997</v>
      </c>
      <c r="I63" s="55">
        <f t="shared" si="32"/>
        <v>2144.2707042140196</v>
      </c>
      <c r="J63" s="55">
        <f t="shared" si="32"/>
        <v>2165.7134112561598</v>
      </c>
      <c r="K63" s="55">
        <f t="shared" si="32"/>
        <v>2187.3705453687217</v>
      </c>
      <c r="L63" s="55">
        <f t="shared" si="32"/>
        <v>2209.244250822409</v>
      </c>
      <c r="M63" s="55">
        <f t="shared" si="32"/>
        <v>2231.3366933306329</v>
      </c>
      <c r="N63" s="55">
        <f t="shared" si="32"/>
        <v>2253.6500602639394</v>
      </c>
      <c r="O63" s="55">
        <f t="shared" si="32"/>
        <v>2276.1865608665789</v>
      </c>
      <c r="P63" s="55">
        <f t="shared" si="32"/>
        <v>2298.9484264752446</v>
      </c>
      <c r="Q63" s="55">
        <f t="shared" si="32"/>
        <v>2321.9379107399968</v>
      </c>
      <c r="R63" s="55">
        <f t="shared" si="32"/>
        <v>2345.1572898473969</v>
      </c>
      <c r="S63" s="55">
        <f t="shared" si="32"/>
        <v>2368.6088627458707</v>
      </c>
      <c r="T63" s="55">
        <f t="shared" si="32"/>
        <v>2392.2949513733292</v>
      </c>
      <c r="U63" s="55">
        <f t="shared" si="32"/>
        <v>2416.2179008870626</v>
      </c>
      <c r="V63" s="55">
        <f t="shared" si="32"/>
        <v>2440.3800798959332</v>
      </c>
      <c r="W63" s="55">
        <f t="shared" si="32"/>
        <v>2464.7838806948926</v>
      </c>
      <c r="X63" s="55">
        <f t="shared" si="32"/>
        <v>2489.4317195018416</v>
      </c>
      <c r="Y63" s="55">
        <f t="shared" si="32"/>
        <v>2514.3260366968602</v>
      </c>
      <c r="Z63" s="55">
        <f t="shared" si="32"/>
        <v>2539.4692970638289</v>
      </c>
      <c r="AA63" s="55">
        <f t="shared" si="32"/>
        <v>2564.8639900344674</v>
      </c>
      <c r="AB63" s="55">
        <f t="shared" si="32"/>
        <v>2590.5126299348121</v>
      </c>
      <c r="AC63" s="55">
        <f t="shared" si="32"/>
        <v>2616.4177562341602</v>
      </c>
      <c r="AD63" s="55">
        <f t="shared" si="32"/>
        <v>2642.5819337965017</v>
      </c>
      <c r="AE63" s="55">
        <f t="shared" si="32"/>
        <v>2669.0077531344668</v>
      </c>
      <c r="AF63" s="55">
        <f t="shared" si="32"/>
        <v>2695.6978306658116</v>
      </c>
      <c r="AG63" s="55">
        <f t="shared" si="32"/>
        <v>2722.6548089724697</v>
      </c>
      <c r="AH63" s="55">
        <f t="shared" si="32"/>
        <v>2749.8813570621946</v>
      </c>
      <c r="AI63" s="55">
        <f t="shared" si="32"/>
        <v>2777.3801706328168</v>
      </c>
      <c r="AJ63" s="55">
        <f t="shared" si="32"/>
        <v>2805.1539723391452</v>
      </c>
      <c r="AK63" s="55">
        <f t="shared" si="32"/>
        <v>2833.2055120625369</v>
      </c>
      <c r="AL63" s="55">
        <f t="shared" si="32"/>
        <v>2861.5375671831621</v>
      </c>
      <c r="AM63" s="55">
        <f t="shared" si="32"/>
        <v>2890.1529428549939</v>
      </c>
      <c r="AN63" s="55">
        <f t="shared" si="32"/>
        <v>2919.0544722835439</v>
      </c>
      <c r="AO63" s="55">
        <f t="shared" si="32"/>
        <v>2948.2450170063794</v>
      </c>
      <c r="AP63" s="55">
        <f t="shared" si="32"/>
        <v>2977.727467176443</v>
      </c>
      <c r="AQ63" s="55">
        <f t="shared" si="32"/>
        <v>3007.5047418482077</v>
      </c>
      <c r="AR63" s="55">
        <f t="shared" si="32"/>
        <v>3037.5797892666897</v>
      </c>
      <c r="AS63" s="55">
        <f t="shared" si="32"/>
        <v>3067.9555871593566</v>
      </c>
      <c r="AT63" s="55">
        <f t="shared" si="32"/>
        <v>3098.6351430309501</v>
      </c>
      <c r="AU63" s="55">
        <f t="shared" si="32"/>
        <v>3129.6214944612598</v>
      </c>
      <c r="AV63" s="55">
        <f t="shared" si="32"/>
        <v>3160.9177094058723</v>
      </c>
      <c r="AW63" s="55">
        <f t="shared" si="32"/>
        <v>3192.5268864999312</v>
      </c>
      <c r="AX63" s="55">
        <f t="shared" si="32"/>
        <v>3224.4521553649306</v>
      </c>
      <c r="AY63" s="55">
        <f t="shared" si="32"/>
        <v>3256.6966769185801</v>
      </c>
      <c r="AZ63" s="55">
        <f t="shared" si="32"/>
        <v>3289.263643687766</v>
      </c>
      <c r="BA63" s="55">
        <f t="shared" si="32"/>
        <v>3322.1562801246437</v>
      </c>
      <c r="BB63" s="55">
        <f t="shared" si="32"/>
        <v>3355.37784292589</v>
      </c>
      <c r="BC63" s="55">
        <f t="shared" si="32"/>
        <v>3388.9316213551488</v>
      </c>
      <c r="BD63" s="55">
        <f t="shared" si="32"/>
        <v>3422.8209375687002</v>
      </c>
      <c r="BE63" s="55">
        <f t="shared" si="32"/>
        <v>3457.0491469443873</v>
      </c>
      <c r="BF63" s="55">
        <f t="shared" si="32"/>
        <v>3491.6196384138311</v>
      </c>
      <c r="BG63" s="55">
        <f t="shared" si="32"/>
        <v>3526.5358347979695</v>
      </c>
      <c r="BH63" s="55">
        <f t="shared" si="32"/>
        <v>3561.8011931459491</v>
      </c>
      <c r="BI63" s="55">
        <f t="shared" si="32"/>
        <v>3597.4192050774086</v>
      </c>
    </row>
    <row r="64" spans="1:89" s="56" customFormat="1" x14ac:dyDescent="0.25">
      <c r="A64" s="30" t="s">
        <v>152</v>
      </c>
      <c r="B64" s="44">
        <v>0.01</v>
      </c>
      <c r="C64" s="44">
        <v>0.01</v>
      </c>
      <c r="D64" s="44">
        <v>0.01</v>
      </c>
      <c r="E64" s="44">
        <v>0.01</v>
      </c>
      <c r="F64" s="44">
        <v>0.01</v>
      </c>
      <c r="G64" s="44">
        <v>0.01</v>
      </c>
      <c r="H64" s="44">
        <v>0.01</v>
      </c>
      <c r="I64" s="44">
        <v>0.01</v>
      </c>
      <c r="J64" s="44">
        <v>0.01</v>
      </c>
      <c r="K64" s="44">
        <v>0.01</v>
      </c>
      <c r="L64" s="44">
        <v>0.01</v>
      </c>
      <c r="M64" s="44">
        <v>0.01</v>
      </c>
      <c r="N64" s="44">
        <v>0.01</v>
      </c>
      <c r="O64" s="44">
        <v>0.01</v>
      </c>
      <c r="P64" s="44">
        <v>0.01</v>
      </c>
      <c r="Q64" s="44">
        <v>0.01</v>
      </c>
      <c r="R64" s="44">
        <v>0.01</v>
      </c>
      <c r="S64" s="44">
        <v>0.01</v>
      </c>
      <c r="T64" s="44">
        <v>0.01</v>
      </c>
      <c r="U64" s="44">
        <v>0.01</v>
      </c>
      <c r="V64" s="44">
        <v>0.01</v>
      </c>
      <c r="W64" s="44">
        <v>0.01</v>
      </c>
      <c r="X64" s="44">
        <v>0.01</v>
      </c>
      <c r="Y64" s="44">
        <v>0.01</v>
      </c>
      <c r="Z64" s="44">
        <v>0.01</v>
      </c>
      <c r="AA64" s="44">
        <v>0.01</v>
      </c>
      <c r="AB64" s="44">
        <v>0.01</v>
      </c>
      <c r="AC64" s="44">
        <v>0.01</v>
      </c>
      <c r="AD64" s="44">
        <v>0.01</v>
      </c>
      <c r="AE64" s="44">
        <v>0.01</v>
      </c>
      <c r="AF64" s="44">
        <v>0.01</v>
      </c>
      <c r="AG64" s="44">
        <v>0.01</v>
      </c>
      <c r="AH64" s="44">
        <v>0.01</v>
      </c>
      <c r="AI64" s="44">
        <v>0.01</v>
      </c>
      <c r="AJ64" s="44">
        <v>0.01</v>
      </c>
      <c r="AK64" s="44">
        <v>0.01</v>
      </c>
      <c r="AL64" s="44">
        <v>0.01</v>
      </c>
      <c r="AM64" s="44">
        <v>0.01</v>
      </c>
      <c r="AN64" s="44">
        <v>0.01</v>
      </c>
      <c r="AO64" s="44">
        <v>0.01</v>
      </c>
      <c r="AP64" s="44">
        <v>0.01</v>
      </c>
      <c r="AQ64" s="44">
        <v>0.01</v>
      </c>
      <c r="AR64" s="44">
        <v>0.01</v>
      </c>
      <c r="AS64" s="44">
        <v>0.01</v>
      </c>
      <c r="AT64" s="44">
        <v>0.01</v>
      </c>
      <c r="AU64" s="44">
        <v>0.01</v>
      </c>
      <c r="AV64" s="44">
        <v>0.01</v>
      </c>
      <c r="AW64" s="44">
        <v>0.01</v>
      </c>
      <c r="AX64" s="44">
        <v>0.01</v>
      </c>
      <c r="AY64" s="44">
        <v>0.01</v>
      </c>
      <c r="AZ64" s="44">
        <v>0.01</v>
      </c>
      <c r="BA64" s="44">
        <v>0.01</v>
      </c>
      <c r="BB64" s="44">
        <v>0.01</v>
      </c>
      <c r="BC64" s="44">
        <v>0.01</v>
      </c>
      <c r="BD64" s="44">
        <v>0.01</v>
      </c>
      <c r="BE64" s="44">
        <v>0.01</v>
      </c>
      <c r="BF64" s="44">
        <v>0.01</v>
      </c>
      <c r="BG64" s="44">
        <v>0.01</v>
      </c>
      <c r="BH64" s="44">
        <v>0.01</v>
      </c>
      <c r="BI64" s="44">
        <v>0.01</v>
      </c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</row>
    <row r="65" spans="1:89" s="47" customFormat="1" x14ac:dyDescent="0.25">
      <c r="A65" s="47" t="s">
        <v>22</v>
      </c>
      <c r="B65" s="55">
        <f>B66*B79+1000</f>
        <v>1000</v>
      </c>
      <c r="C65" s="55">
        <f t="shared" ref="C65:BI65" si="33">C66*C79+1000</f>
        <v>1000</v>
      </c>
      <c r="D65" s="55">
        <f t="shared" si="33"/>
        <v>1000</v>
      </c>
      <c r="E65" s="55">
        <f t="shared" si="33"/>
        <v>4782.1003920242674</v>
      </c>
      <c r="F65" s="55">
        <f t="shared" si="33"/>
        <v>4830.2219768729301</v>
      </c>
      <c r="G65" s="55">
        <f t="shared" si="33"/>
        <v>4879.2460205578336</v>
      </c>
      <c r="H65" s="55">
        <f t="shared" si="33"/>
        <v>4929.202939937506</v>
      </c>
      <c r="I65" s="55">
        <f t="shared" si="33"/>
        <v>4980.1246746108682</v>
      </c>
      <c r="J65" s="55">
        <f t="shared" si="33"/>
        <v>5032.0447750642052</v>
      </c>
      <c r="K65" s="55">
        <f t="shared" si="33"/>
        <v>5084.9984961535647</v>
      </c>
      <c r="L65" s="55">
        <f t="shared" si="33"/>
        <v>5139.0228962506917</v>
      </c>
      <c r="M65" s="55">
        <f t="shared" si="33"/>
        <v>5194.1569424009394</v>
      </c>
      <c r="N65" s="55">
        <f t="shared" si="33"/>
        <v>5250.4416218632041</v>
      </c>
      <c r="O65" s="55">
        <f t="shared" si="33"/>
        <v>5307.9200604248608</v>
      </c>
      <c r="P65" s="55">
        <f t="shared" si="33"/>
        <v>5366.6376479090895</v>
      </c>
      <c r="Q65" s="55">
        <f t="shared" si="33"/>
        <v>5426.6421713178579</v>
      </c>
      <c r="R65" s="55">
        <f t="shared" si="33"/>
        <v>5487.9839560813798</v>
      </c>
      <c r="S65" s="55">
        <f t="shared" si="33"/>
        <v>5550.7160159140694</v>
      </c>
      <c r="T65" s="55">
        <f t="shared" si="33"/>
        <v>5614.8942118081332</v>
      </c>
      <c r="U65" s="55">
        <f t="shared" si="33"/>
        <v>5680.5774207288678</v>
      </c>
      <c r="V65" s="55">
        <f t="shared" si="33"/>
        <v>5747.8277146109031</v>
      </c>
      <c r="W65" s="55">
        <f t="shared" si="33"/>
        <v>5816.7105502918148</v>
      </c>
      <c r="X65" s="55">
        <f t="shared" si="33"/>
        <v>5887.2949710591502</v>
      </c>
      <c r="Y65" s="55">
        <f t="shared" si="33"/>
        <v>5959.6538205290117</v>
      </c>
      <c r="Z65" s="55">
        <f t="shared" si="33"/>
        <v>6033.8639696189821</v>
      </c>
      <c r="AA65" s="55">
        <f t="shared" si="33"/>
        <v>6110.0065574257696</v>
      </c>
      <c r="AB65" s="55">
        <f t="shared" si="33"/>
        <v>6188.1672468683355</v>
      </c>
      <c r="AC65" s="55">
        <f t="shared" si="33"/>
        <v>6268.4364960109942</v>
      </c>
      <c r="AD65" s="55">
        <f t="shared" si="33"/>
        <v>6350.9098460379264</v>
      </c>
      <c r="AE65" s="55">
        <f t="shared" si="33"/>
        <v>6435.6882269111065</v>
      </c>
      <c r="AF65" s="55">
        <f t="shared" si="33"/>
        <v>6522.8782818081299</v>
      </c>
      <c r="AG65" s="55">
        <f t="shared" si="33"/>
        <v>6612.5927115046952</v>
      </c>
      <c r="AH65" s="55">
        <f t="shared" si="33"/>
        <v>6704.9506399393313</v>
      </c>
      <c r="AI65" s="55">
        <f t="shared" si="33"/>
        <v>6800.0780022751505</v>
      </c>
      <c r="AJ65" s="55">
        <f t="shared" si="33"/>
        <v>6898.1079568555988</v>
      </c>
      <c r="AK65" s="55">
        <f t="shared" si="33"/>
        <v>6999.1813225384185</v>
      </c>
      <c r="AL65" s="55">
        <f t="shared" si="33"/>
        <v>7103.4470429848434</v>
      </c>
      <c r="AM65" s="55">
        <f t="shared" si="33"/>
        <v>7211.0626795796279</v>
      </c>
      <c r="AN65" s="55">
        <f t="shared" si="33"/>
        <v>7322.1949347623558</v>
      </c>
      <c r="AO65" s="55">
        <f t="shared" si="33"/>
        <v>7437.0202076618634</v>
      </c>
      <c r="AP65" s="55">
        <f t="shared" si="33"/>
        <v>7555.7251840439758</v>
      </c>
      <c r="AQ65" s="55">
        <f t="shared" si="33"/>
        <v>7678.5074627087606</v>
      </c>
      <c r="AR65" s="55">
        <f t="shared" si="33"/>
        <v>7805.5762206071586</v>
      </c>
      <c r="AS65" s="55">
        <f t="shared" si="33"/>
        <v>7937.1529190891351</v>
      </c>
      <c r="AT65" s="55">
        <f t="shared" si="33"/>
        <v>8073.4720538467845</v>
      </c>
      <c r="AU65" s="55">
        <f t="shared" si="33"/>
        <v>8214.7819512763635</v>
      </c>
      <c r="AV65" s="55">
        <f t="shared" si="33"/>
        <v>8361.3456141543029</v>
      </c>
      <c r="AW65" s="55">
        <f t="shared" si="33"/>
        <v>8513.4416197037117</v>
      </c>
      <c r="AX65" s="55">
        <f t="shared" si="33"/>
        <v>8671.3650733211834</v>
      </c>
      <c r="AY65" s="55">
        <f t="shared" si="33"/>
        <v>8835.4286214388958</v>
      </c>
      <c r="AZ65" s="55">
        <f t="shared" si="33"/>
        <v>9005.9635272153428</v>
      </c>
      <c r="BA65" s="55">
        <f t="shared" si="33"/>
        <v>9183.3208129801205</v>
      </c>
      <c r="BB65" s="55">
        <f t="shared" si="33"/>
        <v>9367.8724736049389</v>
      </c>
      <c r="BC65" s="55">
        <f t="shared" si="33"/>
        <v>9560.0127652353676</v>
      </c>
      <c r="BD65" s="55">
        <f t="shared" si="33"/>
        <v>9760.1595740968787</v>
      </c>
      <c r="BE65" s="55">
        <f t="shared" si="33"/>
        <v>9968.7558703852137</v>
      </c>
      <c r="BF65" s="55">
        <f t="shared" si="33"/>
        <v>10186.271252566719</v>
      </c>
      <c r="BG65" s="55">
        <f t="shared" si="33"/>
        <v>10413.203587749453</v>
      </c>
      <c r="BH65" s="55">
        <f t="shared" si="33"/>
        <v>10650.080754142733</v>
      </c>
      <c r="BI65" s="55">
        <f t="shared" si="33"/>
        <v>10897.462492001858</v>
      </c>
    </row>
    <row r="66" spans="1:89" s="56" customFormat="1" x14ac:dyDescent="0.25">
      <c r="A66" s="59" t="s">
        <v>227</v>
      </c>
      <c r="B66" s="66">
        <v>5.0000000000000001E-3</v>
      </c>
      <c r="C66" s="66">
        <v>5.0000000000000001E-3</v>
      </c>
      <c r="D66" s="66">
        <v>5.0000000000000001E-3</v>
      </c>
      <c r="E66" s="66">
        <v>5.0000000000000001E-3</v>
      </c>
      <c r="F66" s="66">
        <v>5.0000000000000001E-3</v>
      </c>
      <c r="G66" s="66">
        <v>5.0000000000000001E-3</v>
      </c>
      <c r="H66" s="66">
        <v>5.0000000000000001E-3</v>
      </c>
      <c r="I66" s="66">
        <v>5.0000000000000001E-3</v>
      </c>
      <c r="J66" s="66">
        <v>5.0000000000000001E-3</v>
      </c>
      <c r="K66" s="66">
        <v>5.0000000000000001E-3</v>
      </c>
      <c r="L66" s="66">
        <v>5.0000000000000001E-3</v>
      </c>
      <c r="M66" s="66">
        <v>5.0000000000000001E-3</v>
      </c>
      <c r="N66" s="66">
        <v>5.0000000000000001E-3</v>
      </c>
      <c r="O66" s="66">
        <v>5.0000000000000001E-3</v>
      </c>
      <c r="P66" s="66">
        <v>5.0000000000000001E-3</v>
      </c>
      <c r="Q66" s="66">
        <v>5.0000000000000001E-3</v>
      </c>
      <c r="R66" s="66">
        <v>5.0000000000000001E-3</v>
      </c>
      <c r="S66" s="66">
        <v>5.0000000000000001E-3</v>
      </c>
      <c r="T66" s="66">
        <v>5.0000000000000001E-3</v>
      </c>
      <c r="U66" s="66">
        <v>5.0000000000000001E-3</v>
      </c>
      <c r="V66" s="66">
        <v>5.0000000000000001E-3</v>
      </c>
      <c r="W66" s="66">
        <v>5.0000000000000001E-3</v>
      </c>
      <c r="X66" s="66">
        <v>5.0000000000000001E-3</v>
      </c>
      <c r="Y66" s="66">
        <v>5.0000000000000001E-3</v>
      </c>
      <c r="Z66" s="66">
        <v>5.0000000000000001E-3</v>
      </c>
      <c r="AA66" s="66">
        <v>5.0000000000000001E-3</v>
      </c>
      <c r="AB66" s="66">
        <v>5.0000000000000001E-3</v>
      </c>
      <c r="AC66" s="66">
        <v>5.0000000000000001E-3</v>
      </c>
      <c r="AD66" s="66">
        <v>5.0000000000000001E-3</v>
      </c>
      <c r="AE66" s="66">
        <v>5.0000000000000001E-3</v>
      </c>
      <c r="AF66" s="66">
        <v>5.0000000000000001E-3</v>
      </c>
      <c r="AG66" s="66">
        <v>5.0000000000000001E-3</v>
      </c>
      <c r="AH66" s="66">
        <v>5.0000000000000001E-3</v>
      </c>
      <c r="AI66" s="66">
        <v>5.0000000000000001E-3</v>
      </c>
      <c r="AJ66" s="66">
        <v>5.0000000000000001E-3</v>
      </c>
      <c r="AK66" s="66">
        <v>5.0000000000000001E-3</v>
      </c>
      <c r="AL66" s="66">
        <v>5.0000000000000001E-3</v>
      </c>
      <c r="AM66" s="66">
        <v>5.0000000000000001E-3</v>
      </c>
      <c r="AN66" s="66">
        <v>5.0000000000000001E-3</v>
      </c>
      <c r="AO66" s="66">
        <v>5.0000000000000001E-3</v>
      </c>
      <c r="AP66" s="66">
        <v>5.0000000000000001E-3</v>
      </c>
      <c r="AQ66" s="66">
        <v>5.0000000000000001E-3</v>
      </c>
      <c r="AR66" s="66">
        <v>5.0000000000000001E-3</v>
      </c>
      <c r="AS66" s="66">
        <v>5.0000000000000001E-3</v>
      </c>
      <c r="AT66" s="66">
        <v>5.0000000000000001E-3</v>
      </c>
      <c r="AU66" s="66">
        <v>5.0000000000000001E-3</v>
      </c>
      <c r="AV66" s="66">
        <v>5.0000000000000001E-3</v>
      </c>
      <c r="AW66" s="66">
        <v>5.0000000000000001E-3</v>
      </c>
      <c r="AX66" s="66">
        <v>5.0000000000000001E-3</v>
      </c>
      <c r="AY66" s="66">
        <v>5.0000000000000001E-3</v>
      </c>
      <c r="AZ66" s="66">
        <v>5.0000000000000001E-3</v>
      </c>
      <c r="BA66" s="66">
        <v>5.0000000000000001E-3</v>
      </c>
      <c r="BB66" s="66">
        <v>5.0000000000000001E-3</v>
      </c>
      <c r="BC66" s="66">
        <v>5.0000000000000001E-3</v>
      </c>
      <c r="BD66" s="66">
        <v>5.0000000000000001E-3</v>
      </c>
      <c r="BE66" s="66">
        <v>5.0000000000000001E-3</v>
      </c>
      <c r="BF66" s="66">
        <v>5.0000000000000001E-3</v>
      </c>
      <c r="BG66" s="66">
        <v>5.0000000000000001E-3</v>
      </c>
      <c r="BH66" s="66">
        <v>5.0000000000000001E-3</v>
      </c>
      <c r="BI66" s="66">
        <v>5.0000000000000001E-3</v>
      </c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</row>
    <row r="67" spans="1:89" s="47" customFormat="1" x14ac:dyDescent="0.25">
      <c r="A67" s="47" t="s">
        <v>145</v>
      </c>
      <c r="B67" s="19">
        <v>0</v>
      </c>
      <c r="C67" s="55">
        <f>B67*(1+B68)</f>
        <v>0</v>
      </c>
      <c r="D67" s="55">
        <f t="shared" ref="D67:BI67" si="34">C67*(1+C68)</f>
        <v>0</v>
      </c>
      <c r="E67" s="55">
        <f t="shared" si="34"/>
        <v>0</v>
      </c>
      <c r="F67" s="55">
        <f t="shared" si="34"/>
        <v>0</v>
      </c>
      <c r="G67" s="55">
        <f t="shared" si="34"/>
        <v>0</v>
      </c>
      <c r="H67" s="55">
        <f t="shared" si="34"/>
        <v>0</v>
      </c>
      <c r="I67" s="55">
        <f t="shared" si="34"/>
        <v>0</v>
      </c>
      <c r="J67" s="55">
        <f t="shared" si="34"/>
        <v>0</v>
      </c>
      <c r="K67" s="55">
        <f t="shared" si="34"/>
        <v>0</v>
      </c>
      <c r="L67" s="55">
        <f t="shared" si="34"/>
        <v>0</v>
      </c>
      <c r="M67" s="55">
        <f t="shared" si="34"/>
        <v>0</v>
      </c>
      <c r="N67" s="55">
        <f t="shared" si="34"/>
        <v>0</v>
      </c>
      <c r="O67" s="55">
        <f t="shared" si="34"/>
        <v>0</v>
      </c>
      <c r="P67" s="55">
        <f t="shared" si="34"/>
        <v>0</v>
      </c>
      <c r="Q67" s="55">
        <f t="shared" si="34"/>
        <v>0</v>
      </c>
      <c r="R67" s="55">
        <f t="shared" si="34"/>
        <v>0</v>
      </c>
      <c r="S67" s="55">
        <f t="shared" si="34"/>
        <v>0</v>
      </c>
      <c r="T67" s="55">
        <f t="shared" si="34"/>
        <v>0</v>
      </c>
      <c r="U67" s="55">
        <f t="shared" si="34"/>
        <v>0</v>
      </c>
      <c r="V67" s="55">
        <f t="shared" si="34"/>
        <v>0</v>
      </c>
      <c r="W67" s="55">
        <f t="shared" si="34"/>
        <v>0</v>
      </c>
      <c r="X67" s="55">
        <f t="shared" si="34"/>
        <v>0</v>
      </c>
      <c r="Y67" s="55">
        <f t="shared" si="34"/>
        <v>0</v>
      </c>
      <c r="Z67" s="55">
        <f t="shared" si="34"/>
        <v>0</v>
      </c>
      <c r="AA67" s="55">
        <f t="shared" si="34"/>
        <v>0</v>
      </c>
      <c r="AB67" s="55">
        <f t="shared" si="34"/>
        <v>0</v>
      </c>
      <c r="AC67" s="55">
        <f t="shared" si="34"/>
        <v>0</v>
      </c>
      <c r="AD67" s="55">
        <f t="shared" si="34"/>
        <v>0</v>
      </c>
      <c r="AE67" s="55">
        <f t="shared" si="34"/>
        <v>0</v>
      </c>
      <c r="AF67" s="55">
        <f t="shared" si="34"/>
        <v>0</v>
      </c>
      <c r="AG67" s="55">
        <f t="shared" si="34"/>
        <v>0</v>
      </c>
      <c r="AH67" s="55">
        <f t="shared" si="34"/>
        <v>0</v>
      </c>
      <c r="AI67" s="55">
        <f t="shared" si="34"/>
        <v>0</v>
      </c>
      <c r="AJ67" s="55">
        <f t="shared" si="34"/>
        <v>0</v>
      </c>
      <c r="AK67" s="55">
        <f t="shared" si="34"/>
        <v>0</v>
      </c>
      <c r="AL67" s="55">
        <f t="shared" si="34"/>
        <v>0</v>
      </c>
      <c r="AM67" s="55">
        <f t="shared" si="34"/>
        <v>0</v>
      </c>
      <c r="AN67" s="55">
        <f t="shared" si="34"/>
        <v>0</v>
      </c>
      <c r="AO67" s="55">
        <f t="shared" si="34"/>
        <v>0</v>
      </c>
      <c r="AP67" s="55">
        <f t="shared" si="34"/>
        <v>0</v>
      </c>
      <c r="AQ67" s="55">
        <f t="shared" si="34"/>
        <v>0</v>
      </c>
      <c r="AR67" s="55">
        <f t="shared" si="34"/>
        <v>0</v>
      </c>
      <c r="AS67" s="55">
        <f t="shared" si="34"/>
        <v>0</v>
      </c>
      <c r="AT67" s="55">
        <f t="shared" si="34"/>
        <v>0</v>
      </c>
      <c r="AU67" s="55">
        <f t="shared" si="34"/>
        <v>0</v>
      </c>
      <c r="AV67" s="55">
        <f t="shared" si="34"/>
        <v>0</v>
      </c>
      <c r="AW67" s="55">
        <f t="shared" si="34"/>
        <v>0</v>
      </c>
      <c r="AX67" s="55">
        <f t="shared" si="34"/>
        <v>0</v>
      </c>
      <c r="AY67" s="55">
        <f t="shared" si="34"/>
        <v>0</v>
      </c>
      <c r="AZ67" s="55">
        <f t="shared" si="34"/>
        <v>0</v>
      </c>
      <c r="BA67" s="55">
        <f t="shared" si="34"/>
        <v>0</v>
      </c>
      <c r="BB67" s="55">
        <f t="shared" si="34"/>
        <v>0</v>
      </c>
      <c r="BC67" s="55">
        <f t="shared" si="34"/>
        <v>0</v>
      </c>
      <c r="BD67" s="55">
        <f t="shared" si="34"/>
        <v>0</v>
      </c>
      <c r="BE67" s="55">
        <f t="shared" si="34"/>
        <v>0</v>
      </c>
      <c r="BF67" s="55">
        <f t="shared" si="34"/>
        <v>0</v>
      </c>
      <c r="BG67" s="55">
        <f t="shared" si="34"/>
        <v>0</v>
      </c>
      <c r="BH67" s="55">
        <f t="shared" si="34"/>
        <v>0</v>
      </c>
      <c r="BI67" s="55">
        <f t="shared" si="34"/>
        <v>0</v>
      </c>
    </row>
    <row r="68" spans="1:89" s="56" customFormat="1" x14ac:dyDescent="0.25">
      <c r="A68" s="30" t="s">
        <v>152</v>
      </c>
      <c r="B68" s="44">
        <v>0.01</v>
      </c>
      <c r="C68" s="44">
        <v>0.01</v>
      </c>
      <c r="D68" s="44">
        <v>0.01</v>
      </c>
      <c r="E68" s="44">
        <v>0.01</v>
      </c>
      <c r="F68" s="44">
        <v>0.01</v>
      </c>
      <c r="G68" s="44">
        <v>0.01</v>
      </c>
      <c r="H68" s="44">
        <v>0.01</v>
      </c>
      <c r="I68" s="44">
        <v>0.01</v>
      </c>
      <c r="J68" s="44">
        <v>0.01</v>
      </c>
      <c r="K68" s="44">
        <v>0.01</v>
      </c>
      <c r="L68" s="44">
        <v>0.01</v>
      </c>
      <c r="M68" s="44">
        <v>0.01</v>
      </c>
      <c r="N68" s="44">
        <v>0.01</v>
      </c>
      <c r="O68" s="44">
        <v>0.01</v>
      </c>
      <c r="P68" s="44">
        <v>0.01</v>
      </c>
      <c r="Q68" s="44">
        <v>0.01</v>
      </c>
      <c r="R68" s="44">
        <v>0.01</v>
      </c>
      <c r="S68" s="44">
        <v>0.01</v>
      </c>
      <c r="T68" s="44">
        <v>0.01</v>
      </c>
      <c r="U68" s="44">
        <v>0.01</v>
      </c>
      <c r="V68" s="44">
        <v>0.01</v>
      </c>
      <c r="W68" s="44">
        <v>0.01</v>
      </c>
      <c r="X68" s="44">
        <v>0.01</v>
      </c>
      <c r="Y68" s="44">
        <v>0.01</v>
      </c>
      <c r="Z68" s="44">
        <v>0.01</v>
      </c>
      <c r="AA68" s="44">
        <v>0.01</v>
      </c>
      <c r="AB68" s="44">
        <v>0.01</v>
      </c>
      <c r="AC68" s="44">
        <v>0.01</v>
      </c>
      <c r="AD68" s="44">
        <v>0.01</v>
      </c>
      <c r="AE68" s="44">
        <v>0.01</v>
      </c>
      <c r="AF68" s="44">
        <v>0.01</v>
      </c>
      <c r="AG68" s="44">
        <v>0.01</v>
      </c>
      <c r="AH68" s="44">
        <v>0.01</v>
      </c>
      <c r="AI68" s="44">
        <v>0.01</v>
      </c>
      <c r="AJ68" s="44">
        <v>0.01</v>
      </c>
      <c r="AK68" s="44">
        <v>0.01</v>
      </c>
      <c r="AL68" s="44">
        <v>0.01</v>
      </c>
      <c r="AM68" s="44">
        <v>0.01</v>
      </c>
      <c r="AN68" s="44">
        <v>0.01</v>
      </c>
      <c r="AO68" s="44">
        <v>0.01</v>
      </c>
      <c r="AP68" s="44">
        <v>0.01</v>
      </c>
      <c r="AQ68" s="44">
        <v>0.01</v>
      </c>
      <c r="AR68" s="44">
        <v>0.01</v>
      </c>
      <c r="AS68" s="44">
        <v>0.01</v>
      </c>
      <c r="AT68" s="44">
        <v>0.01</v>
      </c>
      <c r="AU68" s="44">
        <v>0.01</v>
      </c>
      <c r="AV68" s="44">
        <v>0.01</v>
      </c>
      <c r="AW68" s="44">
        <v>0.01</v>
      </c>
      <c r="AX68" s="44">
        <v>0.01</v>
      </c>
      <c r="AY68" s="44">
        <v>0.01</v>
      </c>
      <c r="AZ68" s="44">
        <v>0.01</v>
      </c>
      <c r="BA68" s="44">
        <v>0.01</v>
      </c>
      <c r="BB68" s="44">
        <v>0.01</v>
      </c>
      <c r="BC68" s="44">
        <v>0.01</v>
      </c>
      <c r="BD68" s="44">
        <v>0.01</v>
      </c>
      <c r="BE68" s="44">
        <v>0.01</v>
      </c>
      <c r="BF68" s="44">
        <v>0.01</v>
      </c>
      <c r="BG68" s="44">
        <v>0.01</v>
      </c>
      <c r="BH68" s="44">
        <v>0.01</v>
      </c>
      <c r="BI68" s="44">
        <v>0.01</v>
      </c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</row>
    <row r="69" spans="1:89" s="47" customFormat="1" x14ac:dyDescent="0.25">
      <c r="A69" s="47" t="s">
        <v>146</v>
      </c>
      <c r="B69" s="19">
        <v>50</v>
      </c>
      <c r="C69" s="55">
        <f>B69*(1+B70)</f>
        <v>50.5</v>
      </c>
      <c r="D69" s="55">
        <f t="shared" ref="D69:BI69" si="35">C69*(1+C70)</f>
        <v>51.005000000000003</v>
      </c>
      <c r="E69" s="55">
        <f t="shared" si="35"/>
        <v>51.515050000000002</v>
      </c>
      <c r="F69" s="55">
        <f t="shared" si="35"/>
        <v>52.030200499999999</v>
      </c>
      <c r="G69" s="55">
        <f t="shared" si="35"/>
        <v>52.550502504999997</v>
      </c>
      <c r="H69" s="55">
        <f t="shared" si="35"/>
        <v>53.076007530049999</v>
      </c>
      <c r="I69" s="55">
        <f t="shared" si="35"/>
        <v>53.606767605350498</v>
      </c>
      <c r="J69" s="55">
        <f t="shared" si="35"/>
        <v>54.142835281404004</v>
      </c>
      <c r="K69" s="55">
        <f t="shared" si="35"/>
        <v>54.684263634218041</v>
      </c>
      <c r="L69" s="55">
        <f t="shared" si="35"/>
        <v>55.231106270560225</v>
      </c>
      <c r="M69" s="55">
        <f t="shared" si="35"/>
        <v>55.783417333265831</v>
      </c>
      <c r="N69" s="55">
        <f t="shared" si="35"/>
        <v>56.341251506598489</v>
      </c>
      <c r="O69" s="55">
        <f t="shared" si="35"/>
        <v>56.904664021664473</v>
      </c>
      <c r="P69" s="55">
        <f t="shared" si="35"/>
        <v>57.473710661881121</v>
      </c>
      <c r="Q69" s="55">
        <f t="shared" si="35"/>
        <v>58.048447768499933</v>
      </c>
      <c r="R69" s="55">
        <f t="shared" si="35"/>
        <v>58.628932246184931</v>
      </c>
      <c r="S69" s="55">
        <f t="shared" si="35"/>
        <v>59.215221568646783</v>
      </c>
      <c r="T69" s="55">
        <f t="shared" si="35"/>
        <v>59.807373784333251</v>
      </c>
      <c r="U69" s="55">
        <f t="shared" si="35"/>
        <v>60.405447522176587</v>
      </c>
      <c r="V69" s="55">
        <f t="shared" si="35"/>
        <v>61.009501997398353</v>
      </c>
      <c r="W69" s="55">
        <f t="shared" si="35"/>
        <v>61.619597017372335</v>
      </c>
      <c r="X69" s="55">
        <f t="shared" si="35"/>
        <v>62.235792987546063</v>
      </c>
      <c r="Y69" s="55">
        <f t="shared" si="35"/>
        <v>62.858150917421526</v>
      </c>
      <c r="Z69" s="55">
        <f t="shared" si="35"/>
        <v>63.486732426595744</v>
      </c>
      <c r="AA69" s="55">
        <f t="shared" si="35"/>
        <v>64.121599750861705</v>
      </c>
      <c r="AB69" s="55">
        <f t="shared" si="35"/>
        <v>64.762815748370329</v>
      </c>
      <c r="AC69" s="55">
        <f t="shared" si="35"/>
        <v>65.410443905854038</v>
      </c>
      <c r="AD69" s="55">
        <f t="shared" si="35"/>
        <v>66.064548344912581</v>
      </c>
      <c r="AE69" s="55">
        <f t="shared" si="35"/>
        <v>66.725193828361711</v>
      </c>
      <c r="AF69" s="55">
        <f t="shared" si="35"/>
        <v>67.392445766645324</v>
      </c>
      <c r="AG69" s="55">
        <f t="shared" si="35"/>
        <v>68.066370224311783</v>
      </c>
      <c r="AH69" s="55">
        <f t="shared" si="35"/>
        <v>68.747033926554906</v>
      </c>
      <c r="AI69" s="55">
        <f t="shared" si="35"/>
        <v>69.434504265820451</v>
      </c>
      <c r="AJ69" s="55">
        <f t="shared" si="35"/>
        <v>70.12884930847865</v>
      </c>
      <c r="AK69" s="55">
        <f t="shared" si="35"/>
        <v>70.830137801563438</v>
      </c>
      <c r="AL69" s="55">
        <f t="shared" si="35"/>
        <v>71.538439179579072</v>
      </c>
      <c r="AM69" s="55">
        <f t="shared" si="35"/>
        <v>72.253823571374866</v>
      </c>
      <c r="AN69" s="55">
        <f t="shared" si="35"/>
        <v>72.976361807088622</v>
      </c>
      <c r="AO69" s="55">
        <f t="shared" si="35"/>
        <v>73.706125425159513</v>
      </c>
      <c r="AP69" s="55">
        <f t="shared" si="35"/>
        <v>74.443186679411113</v>
      </c>
      <c r="AQ69" s="55">
        <f t="shared" si="35"/>
        <v>75.187618546205229</v>
      </c>
      <c r="AR69" s="55">
        <f t="shared" si="35"/>
        <v>75.939494731667281</v>
      </c>
      <c r="AS69" s="55">
        <f t="shared" si="35"/>
        <v>76.69888967898396</v>
      </c>
      <c r="AT69" s="55">
        <f t="shared" si="35"/>
        <v>77.4658785757738</v>
      </c>
      <c r="AU69" s="55">
        <f t="shared" si="35"/>
        <v>78.240537361531537</v>
      </c>
      <c r="AV69" s="55">
        <f t="shared" si="35"/>
        <v>79.022942735146856</v>
      </c>
      <c r="AW69" s="55">
        <f t="shared" si="35"/>
        <v>79.813172162498319</v>
      </c>
      <c r="AX69" s="55">
        <f t="shared" si="35"/>
        <v>80.611303884123302</v>
      </c>
      <c r="AY69" s="55">
        <f t="shared" si="35"/>
        <v>81.417416922964534</v>
      </c>
      <c r="AZ69" s="55">
        <f t="shared" si="35"/>
        <v>82.231591092194179</v>
      </c>
      <c r="BA69" s="55">
        <f t="shared" si="35"/>
        <v>83.053907003116123</v>
      </c>
      <c r="BB69" s="55">
        <f t="shared" si="35"/>
        <v>83.884446073147288</v>
      </c>
      <c r="BC69" s="55">
        <f t="shared" si="35"/>
        <v>84.723290533878767</v>
      </c>
      <c r="BD69" s="55">
        <f t="shared" si="35"/>
        <v>85.570523439217553</v>
      </c>
      <c r="BE69" s="55">
        <f t="shared" si="35"/>
        <v>86.426228673609728</v>
      </c>
      <c r="BF69" s="55">
        <f t="shared" si="35"/>
        <v>87.290490960345821</v>
      </c>
      <c r="BG69" s="55">
        <f t="shared" si="35"/>
        <v>88.163395869949284</v>
      </c>
      <c r="BH69" s="55">
        <f t="shared" si="35"/>
        <v>89.045029828648779</v>
      </c>
      <c r="BI69" s="55">
        <f t="shared" si="35"/>
        <v>89.935480126935275</v>
      </c>
    </row>
    <row r="70" spans="1:89" s="56" customFormat="1" x14ac:dyDescent="0.25">
      <c r="A70" s="30" t="s">
        <v>152</v>
      </c>
      <c r="B70" s="44">
        <v>0.01</v>
      </c>
      <c r="C70" s="44">
        <v>0.01</v>
      </c>
      <c r="D70" s="44">
        <v>0.01</v>
      </c>
      <c r="E70" s="44">
        <v>0.01</v>
      </c>
      <c r="F70" s="44">
        <v>0.01</v>
      </c>
      <c r="G70" s="44">
        <v>0.01</v>
      </c>
      <c r="H70" s="44">
        <v>0.01</v>
      </c>
      <c r="I70" s="44">
        <v>0.01</v>
      </c>
      <c r="J70" s="44">
        <v>0.01</v>
      </c>
      <c r="K70" s="44">
        <v>0.01</v>
      </c>
      <c r="L70" s="44">
        <v>0.01</v>
      </c>
      <c r="M70" s="44">
        <v>0.01</v>
      </c>
      <c r="N70" s="44">
        <v>0.01</v>
      </c>
      <c r="O70" s="44">
        <v>0.01</v>
      </c>
      <c r="P70" s="44">
        <v>0.01</v>
      </c>
      <c r="Q70" s="44">
        <v>0.01</v>
      </c>
      <c r="R70" s="44">
        <v>0.01</v>
      </c>
      <c r="S70" s="44">
        <v>0.01</v>
      </c>
      <c r="T70" s="44">
        <v>0.01</v>
      </c>
      <c r="U70" s="44">
        <v>0.01</v>
      </c>
      <c r="V70" s="44">
        <v>0.01</v>
      </c>
      <c r="W70" s="44">
        <v>0.01</v>
      </c>
      <c r="X70" s="44">
        <v>0.01</v>
      </c>
      <c r="Y70" s="44">
        <v>0.01</v>
      </c>
      <c r="Z70" s="44">
        <v>0.01</v>
      </c>
      <c r="AA70" s="44">
        <v>0.01</v>
      </c>
      <c r="AB70" s="44">
        <v>0.01</v>
      </c>
      <c r="AC70" s="44">
        <v>0.01</v>
      </c>
      <c r="AD70" s="44">
        <v>0.01</v>
      </c>
      <c r="AE70" s="44">
        <v>0.01</v>
      </c>
      <c r="AF70" s="44">
        <v>0.01</v>
      </c>
      <c r="AG70" s="44">
        <v>0.01</v>
      </c>
      <c r="AH70" s="44">
        <v>0.01</v>
      </c>
      <c r="AI70" s="44">
        <v>0.01</v>
      </c>
      <c r="AJ70" s="44">
        <v>0.01</v>
      </c>
      <c r="AK70" s="44">
        <v>0.01</v>
      </c>
      <c r="AL70" s="44">
        <v>0.01</v>
      </c>
      <c r="AM70" s="44">
        <v>0.01</v>
      </c>
      <c r="AN70" s="44">
        <v>0.01</v>
      </c>
      <c r="AO70" s="44">
        <v>0.01</v>
      </c>
      <c r="AP70" s="44">
        <v>0.01</v>
      </c>
      <c r="AQ70" s="44">
        <v>0.01</v>
      </c>
      <c r="AR70" s="44">
        <v>0.01</v>
      </c>
      <c r="AS70" s="44">
        <v>0.01</v>
      </c>
      <c r="AT70" s="44">
        <v>0.01</v>
      </c>
      <c r="AU70" s="44">
        <v>0.01</v>
      </c>
      <c r="AV70" s="44">
        <v>0.01</v>
      </c>
      <c r="AW70" s="44">
        <v>0.01</v>
      </c>
      <c r="AX70" s="44">
        <v>0.01</v>
      </c>
      <c r="AY70" s="44">
        <v>0.01</v>
      </c>
      <c r="AZ70" s="44">
        <v>0.01</v>
      </c>
      <c r="BA70" s="44">
        <v>0.01</v>
      </c>
      <c r="BB70" s="44">
        <v>0.01</v>
      </c>
      <c r="BC70" s="44">
        <v>0.01</v>
      </c>
      <c r="BD70" s="44">
        <v>0.01</v>
      </c>
      <c r="BE70" s="44">
        <v>0.01</v>
      </c>
      <c r="BF70" s="44">
        <v>0.01</v>
      </c>
      <c r="BG70" s="44">
        <v>0.01</v>
      </c>
      <c r="BH70" s="44">
        <v>0.01</v>
      </c>
      <c r="BI70" s="44">
        <v>0.01</v>
      </c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</row>
    <row r="71" spans="1:89" s="47" customFormat="1" x14ac:dyDescent="0.25">
      <c r="A71" s="47" t="s">
        <v>147</v>
      </c>
      <c r="B71" s="19">
        <v>5000</v>
      </c>
      <c r="C71" s="55">
        <f>B71*(1+B72)</f>
        <v>5050</v>
      </c>
      <c r="D71" s="55">
        <f t="shared" ref="D71:BI71" si="36">C71*(1+C72)</f>
        <v>5100.5</v>
      </c>
      <c r="E71" s="55">
        <f t="shared" si="36"/>
        <v>5151.5050000000001</v>
      </c>
      <c r="F71" s="55">
        <f t="shared" si="36"/>
        <v>5203.0200500000001</v>
      </c>
      <c r="G71" s="55">
        <f t="shared" si="36"/>
        <v>5255.0502505000004</v>
      </c>
      <c r="H71" s="55">
        <f t="shared" si="36"/>
        <v>5307.6007530050001</v>
      </c>
      <c r="I71" s="55">
        <f t="shared" si="36"/>
        <v>5360.6767605350506</v>
      </c>
      <c r="J71" s="55">
        <f t="shared" si="36"/>
        <v>5414.2835281404014</v>
      </c>
      <c r="K71" s="55">
        <f t="shared" si="36"/>
        <v>5468.426363421805</v>
      </c>
      <c r="L71" s="55">
        <f t="shared" si="36"/>
        <v>5523.1106270560231</v>
      </c>
      <c r="M71" s="55">
        <f t="shared" si="36"/>
        <v>5578.3417333265834</v>
      </c>
      <c r="N71" s="55">
        <f t="shared" si="36"/>
        <v>5634.1251506598492</v>
      </c>
      <c r="O71" s="55">
        <f t="shared" si="36"/>
        <v>5690.4664021664476</v>
      </c>
      <c r="P71" s="55">
        <f t="shared" si="36"/>
        <v>5747.3710661881123</v>
      </c>
      <c r="Q71" s="55">
        <f t="shared" si="36"/>
        <v>5804.8447768499937</v>
      </c>
      <c r="R71" s="55">
        <f t="shared" si="36"/>
        <v>5862.8932246184941</v>
      </c>
      <c r="S71" s="55">
        <f t="shared" si="36"/>
        <v>5921.5221568646793</v>
      </c>
      <c r="T71" s="55">
        <f t="shared" si="36"/>
        <v>5980.7373784333258</v>
      </c>
      <c r="U71" s="55">
        <f t="shared" si="36"/>
        <v>6040.5447522176592</v>
      </c>
      <c r="V71" s="55">
        <f t="shared" si="36"/>
        <v>6100.9501997398356</v>
      </c>
      <c r="W71" s="55">
        <f t="shared" si="36"/>
        <v>6161.9597017372344</v>
      </c>
      <c r="X71" s="55">
        <f t="shared" si="36"/>
        <v>6223.5792987546065</v>
      </c>
      <c r="Y71" s="55">
        <f t="shared" si="36"/>
        <v>6285.8150917421526</v>
      </c>
      <c r="Z71" s="55">
        <f t="shared" si="36"/>
        <v>6348.6732426595745</v>
      </c>
      <c r="AA71" s="55">
        <f t="shared" si="36"/>
        <v>6412.1599750861706</v>
      </c>
      <c r="AB71" s="55">
        <f t="shared" si="36"/>
        <v>6476.2815748370322</v>
      </c>
      <c r="AC71" s="55">
        <f t="shared" si="36"/>
        <v>6541.0443905854027</v>
      </c>
      <c r="AD71" s="55">
        <f t="shared" si="36"/>
        <v>6606.4548344912564</v>
      </c>
      <c r="AE71" s="55">
        <f t="shared" si="36"/>
        <v>6672.5193828361689</v>
      </c>
      <c r="AF71" s="55">
        <f t="shared" si="36"/>
        <v>6739.2445766645305</v>
      </c>
      <c r="AG71" s="55">
        <f t="shared" si="36"/>
        <v>6806.6370224311759</v>
      </c>
      <c r="AH71" s="55">
        <f t="shared" si="36"/>
        <v>6874.7033926554877</v>
      </c>
      <c r="AI71" s="55">
        <f t="shared" si="36"/>
        <v>6943.4504265820424</v>
      </c>
      <c r="AJ71" s="55">
        <f t="shared" si="36"/>
        <v>7012.884930847863</v>
      </c>
      <c r="AK71" s="55">
        <f t="shared" si="36"/>
        <v>7083.0137801563415</v>
      </c>
      <c r="AL71" s="55">
        <f t="shared" si="36"/>
        <v>7153.8439179579045</v>
      </c>
      <c r="AM71" s="55">
        <f t="shared" si="36"/>
        <v>7225.3823571374833</v>
      </c>
      <c r="AN71" s="55">
        <f t="shared" si="36"/>
        <v>7297.6361807088579</v>
      </c>
      <c r="AO71" s="55">
        <f t="shared" si="36"/>
        <v>7370.6125425159462</v>
      </c>
      <c r="AP71" s="55">
        <f t="shared" si="36"/>
        <v>7444.3186679411056</v>
      </c>
      <c r="AQ71" s="55">
        <f t="shared" si="36"/>
        <v>7518.7618546205167</v>
      </c>
      <c r="AR71" s="55">
        <f t="shared" si="36"/>
        <v>7593.9494731667219</v>
      </c>
      <c r="AS71" s="55">
        <f t="shared" si="36"/>
        <v>7669.8889678983887</v>
      </c>
      <c r="AT71" s="55">
        <f t="shared" si="36"/>
        <v>7746.5878575773722</v>
      </c>
      <c r="AU71" s="55">
        <f t="shared" si="36"/>
        <v>7824.053736153146</v>
      </c>
      <c r="AV71" s="55">
        <f t="shared" si="36"/>
        <v>7902.2942735146771</v>
      </c>
      <c r="AW71" s="55">
        <f t="shared" si="36"/>
        <v>7981.317216249824</v>
      </c>
      <c r="AX71" s="55">
        <f t="shared" si="36"/>
        <v>8061.1303884123226</v>
      </c>
      <c r="AY71" s="55">
        <f t="shared" si="36"/>
        <v>8141.7416922964458</v>
      </c>
      <c r="AZ71" s="55">
        <f t="shared" si="36"/>
        <v>8223.1591092194103</v>
      </c>
      <c r="BA71" s="55">
        <f t="shared" si="36"/>
        <v>8305.3907003116037</v>
      </c>
      <c r="BB71" s="55">
        <f t="shared" si="36"/>
        <v>8388.4446073147192</v>
      </c>
      <c r="BC71" s="55">
        <f t="shared" si="36"/>
        <v>8472.3290533878662</v>
      </c>
      <c r="BD71" s="55">
        <f t="shared" si="36"/>
        <v>8557.052343921745</v>
      </c>
      <c r="BE71" s="55">
        <f t="shared" si="36"/>
        <v>8642.6228673609621</v>
      </c>
      <c r="BF71" s="55">
        <f t="shared" si="36"/>
        <v>8729.0490960345724</v>
      </c>
      <c r="BG71" s="55">
        <f t="shared" si="36"/>
        <v>8816.3395869949181</v>
      </c>
      <c r="BH71" s="55">
        <f t="shared" si="36"/>
        <v>8904.5029828648676</v>
      </c>
      <c r="BI71" s="55">
        <f t="shared" si="36"/>
        <v>8993.5480126935163</v>
      </c>
    </row>
    <row r="72" spans="1:89" s="56" customFormat="1" x14ac:dyDescent="0.25">
      <c r="A72" s="30" t="s">
        <v>152</v>
      </c>
      <c r="B72" s="44">
        <v>0.01</v>
      </c>
      <c r="C72" s="44">
        <v>0.01</v>
      </c>
      <c r="D72" s="44">
        <v>0.01</v>
      </c>
      <c r="E72" s="44">
        <v>0.01</v>
      </c>
      <c r="F72" s="44">
        <v>0.01</v>
      </c>
      <c r="G72" s="44">
        <v>0.01</v>
      </c>
      <c r="H72" s="44">
        <v>0.01</v>
      </c>
      <c r="I72" s="44">
        <v>0.01</v>
      </c>
      <c r="J72" s="44">
        <v>0.01</v>
      </c>
      <c r="K72" s="44">
        <v>0.01</v>
      </c>
      <c r="L72" s="44">
        <v>0.01</v>
      </c>
      <c r="M72" s="44">
        <v>0.01</v>
      </c>
      <c r="N72" s="44">
        <v>0.01</v>
      </c>
      <c r="O72" s="44">
        <v>0.01</v>
      </c>
      <c r="P72" s="44">
        <v>0.01</v>
      </c>
      <c r="Q72" s="44">
        <v>0.01</v>
      </c>
      <c r="R72" s="44">
        <v>0.01</v>
      </c>
      <c r="S72" s="44">
        <v>0.01</v>
      </c>
      <c r="T72" s="44">
        <v>0.01</v>
      </c>
      <c r="U72" s="44">
        <v>0.01</v>
      </c>
      <c r="V72" s="44">
        <v>0.01</v>
      </c>
      <c r="W72" s="44">
        <v>0.01</v>
      </c>
      <c r="X72" s="44">
        <v>0.01</v>
      </c>
      <c r="Y72" s="44">
        <v>0.01</v>
      </c>
      <c r="Z72" s="44">
        <v>0.01</v>
      </c>
      <c r="AA72" s="44">
        <v>0.01</v>
      </c>
      <c r="AB72" s="44">
        <v>0.01</v>
      </c>
      <c r="AC72" s="44">
        <v>0.01</v>
      </c>
      <c r="AD72" s="44">
        <v>0.01</v>
      </c>
      <c r="AE72" s="44">
        <v>0.01</v>
      </c>
      <c r="AF72" s="44">
        <v>0.01</v>
      </c>
      <c r="AG72" s="44">
        <v>0.01</v>
      </c>
      <c r="AH72" s="44">
        <v>0.01</v>
      </c>
      <c r="AI72" s="44">
        <v>0.01</v>
      </c>
      <c r="AJ72" s="44">
        <v>0.01</v>
      </c>
      <c r="AK72" s="44">
        <v>0.01</v>
      </c>
      <c r="AL72" s="44">
        <v>0.01</v>
      </c>
      <c r="AM72" s="44">
        <v>0.01</v>
      </c>
      <c r="AN72" s="44">
        <v>0.01</v>
      </c>
      <c r="AO72" s="44">
        <v>0.01</v>
      </c>
      <c r="AP72" s="44">
        <v>0.01</v>
      </c>
      <c r="AQ72" s="44">
        <v>0.01</v>
      </c>
      <c r="AR72" s="44">
        <v>0.01</v>
      </c>
      <c r="AS72" s="44">
        <v>0.01</v>
      </c>
      <c r="AT72" s="44">
        <v>0.01</v>
      </c>
      <c r="AU72" s="44">
        <v>0.01</v>
      </c>
      <c r="AV72" s="44">
        <v>0.01</v>
      </c>
      <c r="AW72" s="44">
        <v>0.01</v>
      </c>
      <c r="AX72" s="44">
        <v>0.01</v>
      </c>
      <c r="AY72" s="44">
        <v>0.01</v>
      </c>
      <c r="AZ72" s="44">
        <v>0.01</v>
      </c>
      <c r="BA72" s="44">
        <v>0.01</v>
      </c>
      <c r="BB72" s="44">
        <v>0.01</v>
      </c>
      <c r="BC72" s="44">
        <v>0.01</v>
      </c>
      <c r="BD72" s="44">
        <v>0.01</v>
      </c>
      <c r="BE72" s="44">
        <v>0.01</v>
      </c>
      <c r="BF72" s="44">
        <v>0.01</v>
      </c>
      <c r="BG72" s="44">
        <v>0.01</v>
      </c>
      <c r="BH72" s="44">
        <v>0.01</v>
      </c>
      <c r="BI72" s="44">
        <v>0.01</v>
      </c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</row>
    <row r="74" spans="1:89" x14ac:dyDescent="0.25">
      <c r="A74" t="s">
        <v>23</v>
      </c>
      <c r="B74" s="18">
        <v>0</v>
      </c>
    </row>
    <row r="75" spans="1:89" x14ac:dyDescent="0.25">
      <c r="A75" t="s">
        <v>24</v>
      </c>
      <c r="B75" s="18">
        <v>0.15</v>
      </c>
    </row>
    <row r="76" spans="1:89" x14ac:dyDescent="0.25">
      <c r="A76" t="s">
        <v>25</v>
      </c>
      <c r="B76" s="20">
        <v>0</v>
      </c>
    </row>
    <row r="78" spans="1:89" x14ac:dyDescent="0.25">
      <c r="B78">
        <v>1</v>
      </c>
      <c r="C78">
        <v>2</v>
      </c>
      <c r="D78">
        <v>3</v>
      </c>
      <c r="E78">
        <v>4</v>
      </c>
      <c r="F78">
        <v>5</v>
      </c>
      <c r="G78">
        <v>6</v>
      </c>
      <c r="H78">
        <v>7</v>
      </c>
      <c r="I78">
        <v>8</v>
      </c>
      <c r="J78">
        <v>9</v>
      </c>
      <c r="K78">
        <v>10</v>
      </c>
      <c r="L78">
        <v>11</v>
      </c>
      <c r="M78">
        <v>12</v>
      </c>
      <c r="N78">
        <v>13</v>
      </c>
      <c r="O78">
        <v>14</v>
      </c>
      <c r="P78">
        <v>15</v>
      </c>
      <c r="Q78">
        <v>16</v>
      </c>
      <c r="R78">
        <v>17</v>
      </c>
      <c r="S78">
        <v>18</v>
      </c>
      <c r="T78">
        <v>19</v>
      </c>
      <c r="U78">
        <v>20</v>
      </c>
      <c r="V78">
        <v>21</v>
      </c>
      <c r="W78">
        <v>22</v>
      </c>
      <c r="X78">
        <v>23</v>
      </c>
      <c r="Y78">
        <v>24</v>
      </c>
      <c r="Z78">
        <v>25</v>
      </c>
      <c r="AA78">
        <v>26</v>
      </c>
      <c r="AB78">
        <v>27</v>
      </c>
      <c r="AC78">
        <v>28</v>
      </c>
      <c r="AD78">
        <v>29</v>
      </c>
      <c r="AE78">
        <v>30</v>
      </c>
      <c r="AF78">
        <v>31</v>
      </c>
      <c r="AG78">
        <v>32</v>
      </c>
      <c r="AH78">
        <v>33</v>
      </c>
      <c r="AI78">
        <v>34</v>
      </c>
      <c r="AJ78">
        <v>35</v>
      </c>
      <c r="AK78">
        <v>36</v>
      </c>
      <c r="AL78">
        <v>37</v>
      </c>
      <c r="AM78">
        <v>38</v>
      </c>
      <c r="AN78">
        <v>39</v>
      </c>
      <c r="AO78">
        <v>40</v>
      </c>
      <c r="AP78">
        <v>41</v>
      </c>
      <c r="AQ78">
        <v>42</v>
      </c>
      <c r="AR78">
        <v>43</v>
      </c>
      <c r="AS78">
        <v>44</v>
      </c>
      <c r="AT78">
        <v>45</v>
      </c>
      <c r="AU78">
        <v>46</v>
      </c>
      <c r="AV78">
        <v>47</v>
      </c>
      <c r="AW78">
        <v>48</v>
      </c>
      <c r="AX78">
        <v>49</v>
      </c>
      <c r="AY78">
        <v>50</v>
      </c>
      <c r="AZ78">
        <v>51</v>
      </c>
      <c r="BA78">
        <v>52</v>
      </c>
      <c r="BB78">
        <v>53</v>
      </c>
      <c r="BC78">
        <v>54</v>
      </c>
      <c r="BD78">
        <v>55</v>
      </c>
      <c r="BE78">
        <v>56</v>
      </c>
      <c r="BF78">
        <v>57</v>
      </c>
      <c r="BG78">
        <v>58</v>
      </c>
      <c r="BH78">
        <v>59</v>
      </c>
      <c r="BI78">
        <v>60</v>
      </c>
    </row>
    <row r="79" spans="1:89" x14ac:dyDescent="0.25">
      <c r="A79" t="s">
        <v>26</v>
      </c>
      <c r="B79" s="3">
        <f>RevenueModule!B62</f>
        <v>0</v>
      </c>
      <c r="C79" s="3">
        <f>RevenueModule!C62</f>
        <v>0</v>
      </c>
      <c r="D79" s="3">
        <f>RevenueModule!D62</f>
        <v>0</v>
      </c>
      <c r="E79" s="3">
        <f>RevenueModule!E62</f>
        <v>756420.07840485335</v>
      </c>
      <c r="F79" s="3">
        <f>RevenueModule!F62</f>
        <v>766044.39537458599</v>
      </c>
      <c r="G79" s="3">
        <f>RevenueModule!G62</f>
        <v>775849.20411156677</v>
      </c>
      <c r="H79" s="3">
        <f>RevenueModule!H62</f>
        <v>785840.58798750117</v>
      </c>
      <c r="I79" s="3">
        <f>RevenueModule!I62</f>
        <v>796024.93492217374</v>
      </c>
      <c r="J79" s="3">
        <f>RevenueModule!J62</f>
        <v>806408.95501284103</v>
      </c>
      <c r="K79" s="3">
        <f>RevenueModule!K62</f>
        <v>816999.69923071284</v>
      </c>
      <c r="L79" s="3">
        <f>RevenueModule!L62</f>
        <v>827804.57925013825</v>
      </c>
      <c r="M79" s="3">
        <f>RevenueModule!M62</f>
        <v>838831.38848018786</v>
      </c>
      <c r="N79" s="3">
        <f>RevenueModule!N62</f>
        <v>850088.32437264081</v>
      </c>
      <c r="O79" s="3">
        <f>RevenueModule!O62</f>
        <v>861584.01208497211</v>
      </c>
      <c r="P79" s="3">
        <f>RevenueModule!P62</f>
        <v>873327.52958181791</v>
      </c>
      <c r="Q79" s="3">
        <f>RevenueModule!Q62</f>
        <v>885328.43426357163</v>
      </c>
      <c r="R79" s="3">
        <f>RevenueModule!R62</f>
        <v>897596.79121627589</v>
      </c>
      <c r="S79" s="3">
        <f>RevenueModule!S62</f>
        <v>910143.20318281383</v>
      </c>
      <c r="T79" s="3">
        <f>RevenueModule!T62</f>
        <v>922978.84236162668</v>
      </c>
      <c r="U79" s="3">
        <f>RevenueModule!U62</f>
        <v>936115.48414577346</v>
      </c>
      <c r="V79" s="3">
        <f>RevenueModule!V62</f>
        <v>949565.54292218061</v>
      </c>
      <c r="W79" s="3">
        <f>RevenueModule!W62</f>
        <v>963342.11005836294</v>
      </c>
      <c r="X79" s="3">
        <f>RevenueModule!X62</f>
        <v>977458.99421183008</v>
      </c>
      <c r="Y79" s="3">
        <f>RevenueModule!Y62</f>
        <v>991930.7641058024</v>
      </c>
      <c r="Z79" s="3">
        <f>RevenueModule!Z62</f>
        <v>1006772.7939237964</v>
      </c>
      <c r="AA79" s="3">
        <f>RevenueModule!AA62</f>
        <v>1022001.3114851539</v>
      </c>
      <c r="AB79" s="3">
        <f>RevenueModule!AB62</f>
        <v>1037633.449373667</v>
      </c>
      <c r="AC79" s="3">
        <f>RevenueModule!AC62</f>
        <v>1053687.2992021989</v>
      </c>
      <c r="AD79" s="3">
        <f>RevenueModule!AD62</f>
        <v>1070181.9692075853</v>
      </c>
      <c r="AE79" s="3">
        <f>RevenueModule!AE62</f>
        <v>1087137.6453822213</v>
      </c>
      <c r="AF79" s="3">
        <f>RevenueModule!AF62</f>
        <v>1104575.656361626</v>
      </c>
      <c r="AG79" s="3">
        <f>RevenueModule!AG62</f>
        <v>1122518.5423009391</v>
      </c>
      <c r="AH79" s="3">
        <f>RevenueModule!AH62</f>
        <v>1140990.1279878663</v>
      </c>
      <c r="AI79" s="3">
        <f>RevenueModule!AI62</f>
        <v>1160015.6004550301</v>
      </c>
      <c r="AJ79" s="3">
        <f>RevenueModule!AJ62</f>
        <v>1179621.5913711197</v>
      </c>
      <c r="AK79" s="3">
        <f>RevenueModule!AK62</f>
        <v>1199836.2645076837</v>
      </c>
      <c r="AL79" s="3">
        <f>RevenueModule!AL62</f>
        <v>1220689.4085969687</v>
      </c>
      <c r="AM79" s="3">
        <f>RevenueModule!AM62</f>
        <v>1242212.5359159256</v>
      </c>
      <c r="AN79" s="3">
        <f>RevenueModule!AN62</f>
        <v>1264438.9869524711</v>
      </c>
      <c r="AO79" s="3">
        <f>RevenueModule!AO62</f>
        <v>1287404.0415323726</v>
      </c>
      <c r="AP79" s="3">
        <f>RevenueModule!AP62</f>
        <v>1311145.0368087951</v>
      </c>
      <c r="AQ79" s="3">
        <f>RevenueModule!AQ62</f>
        <v>1335701.4925417521</v>
      </c>
      <c r="AR79" s="3">
        <f>RevenueModule!AR62</f>
        <v>1361115.2441214316</v>
      </c>
      <c r="AS79" s="3">
        <f>RevenueModule!AS62</f>
        <v>1387430.583817827</v>
      </c>
      <c r="AT79" s="3">
        <f>RevenueModule!AT62</f>
        <v>1414694.4107693569</v>
      </c>
      <c r="AU79" s="3">
        <f>RevenueModule!AU62</f>
        <v>1442956.3902552729</v>
      </c>
      <c r="AV79" s="3">
        <f>RevenueModule!AV62</f>
        <v>1472269.1228308608</v>
      </c>
      <c r="AW79" s="3">
        <f>RevenueModule!AW62</f>
        <v>1502688.3239407423</v>
      </c>
      <c r="AX79" s="3">
        <f>RevenueModule!AX62</f>
        <v>1534273.0146642369</v>
      </c>
      <c r="AY79" s="3">
        <f>RevenueModule!AY62</f>
        <v>1567085.7242877791</v>
      </c>
      <c r="AZ79" s="3">
        <f>RevenueModule!AZ62</f>
        <v>1601192.7054430686</v>
      </c>
      <c r="BA79" s="3">
        <f>RevenueModule!BA62</f>
        <v>1636664.1625960243</v>
      </c>
      <c r="BB79" s="3">
        <f>RevenueModule!BB62</f>
        <v>1673574.4947209877</v>
      </c>
      <c r="BC79" s="3">
        <f>RevenueModule!BC62</f>
        <v>1712002.5530470735</v>
      </c>
      <c r="BD79" s="3">
        <f>RevenueModule!BD62</f>
        <v>1752031.9148193756</v>
      </c>
      <c r="BE79" s="3">
        <f>RevenueModule!BE62</f>
        <v>1793751.1740770428</v>
      </c>
      <c r="BF79" s="3">
        <f>RevenueModule!BF62</f>
        <v>1837254.2505133438</v>
      </c>
      <c r="BG79" s="3">
        <f>RevenueModule!BG62</f>
        <v>1882640.7175498905</v>
      </c>
      <c r="BH79" s="3">
        <f>RevenueModule!BH62</f>
        <v>1930016.1508285464</v>
      </c>
      <c r="BI79" s="3">
        <f>RevenueModule!BI62</f>
        <v>1979492.4984003715</v>
      </c>
    </row>
    <row r="80" spans="1:89" x14ac:dyDescent="0.25">
      <c r="A80" t="s">
        <v>27</v>
      </c>
      <c r="B80" s="3">
        <f t="shared" ref="B80:AG80" si="37">B36</f>
        <v>0</v>
      </c>
      <c r="C80" s="3">
        <f t="shared" si="37"/>
        <v>0</v>
      </c>
      <c r="D80" s="3">
        <f t="shared" si="37"/>
        <v>0</v>
      </c>
      <c r="E80" s="3">
        <f t="shared" si="37"/>
        <v>314626.7243854978</v>
      </c>
      <c r="F80" s="3">
        <f t="shared" si="37"/>
        <v>315415.11300692748</v>
      </c>
      <c r="G80" s="3">
        <f t="shared" si="37"/>
        <v>316229.46193409886</v>
      </c>
      <c r="H80" s="3">
        <f t="shared" si="37"/>
        <v>317070.89215669123</v>
      </c>
      <c r="I80" s="3">
        <f t="shared" si="37"/>
        <v>317940.57855581888</v>
      </c>
      <c r="J80" s="3">
        <f t="shared" si="37"/>
        <v>318839.75257932651</v>
      </c>
      <c r="K80" s="3">
        <f t="shared" si="37"/>
        <v>319769.70505146979</v>
      </c>
      <c r="L80" s="3">
        <f t="shared" si="37"/>
        <v>320731.78912377695</v>
      </c>
      <c r="M80" s="3">
        <f t="shared" si="37"/>
        <v>321727.42337423359</v>
      </c>
      <c r="N80" s="3">
        <f t="shared" si="37"/>
        <v>322758.09506230085</v>
      </c>
      <c r="O80" s="3">
        <f t="shared" si="37"/>
        <v>326758.77911822341</v>
      </c>
      <c r="P80" s="3">
        <f t="shared" si="37"/>
        <v>330842.36753658717</v>
      </c>
      <c r="Q80" s="3">
        <f t="shared" si="37"/>
        <v>335012.08471751789</v>
      </c>
      <c r="R80" s="3">
        <f t="shared" si="37"/>
        <v>339271.3257388827</v>
      </c>
      <c r="S80" s="3">
        <f t="shared" si="37"/>
        <v>343623.66622557031</v>
      </c>
      <c r="T80" s="3">
        <f t="shared" si="37"/>
        <v>348072.87280295097</v>
      </c>
      <c r="U80" s="3">
        <f t="shared" si="37"/>
        <v>352622.91416934406</v>
      </c>
      <c r="V80" s="3">
        <f t="shared" si="37"/>
        <v>357277.97282440506</v>
      </c>
      <c r="W80" s="3">
        <f t="shared" si="37"/>
        <v>362042.4574925481</v>
      </c>
      <c r="X80" s="3">
        <f t="shared" si="37"/>
        <v>366921.01628286374</v>
      </c>
      <c r="Y80" s="3">
        <f t="shared" si="37"/>
        <v>371918.55062946735</v>
      </c>
      <c r="Z80" s="3">
        <f t="shared" si="37"/>
        <v>377040.2300588449</v>
      </c>
      <c r="AA80" s="3">
        <f t="shared" si="37"/>
        <v>382291.507833549</v>
      </c>
      <c r="AB80" s="3">
        <f t="shared" si="37"/>
        <v>387678.13752454706</v>
      </c>
      <c r="AC80" s="3">
        <f t="shared" si="37"/>
        <v>393206.1905676598</v>
      </c>
      <c r="AD80" s="3">
        <f t="shared" si="37"/>
        <v>398882.07486283954</v>
      </c>
      <c r="AE80" s="3">
        <f t="shared" si="37"/>
        <v>404712.55447855731</v>
      </c>
      <c r="AF80" s="3">
        <f t="shared" si="37"/>
        <v>410704.77052729658</v>
      </c>
      <c r="AG80" s="3">
        <f t="shared" si="37"/>
        <v>416866.26328209869</v>
      </c>
      <c r="AH80" s="3">
        <f t="shared" ref="AH80:BI80" si="38">AH36</f>
        <v>423204.99560829473</v>
      </c>
      <c r="AI80" s="3">
        <f t="shared" si="38"/>
        <v>429729.37778899941</v>
      </c>
      <c r="AJ80" s="3">
        <f t="shared" si="38"/>
        <v>436448.29382764269</v>
      </c>
      <c r="AK80" s="3">
        <f t="shared" si="38"/>
        <v>443371.12931580923</v>
      </c>
      <c r="AL80" s="3">
        <f t="shared" si="38"/>
        <v>450507.8009599357</v>
      </c>
      <c r="AM80" s="3">
        <f t="shared" si="38"/>
        <v>457868.78786602558</v>
      </c>
      <c r="AN80" s="3">
        <f t="shared" si="38"/>
        <v>465465.16468747729</v>
      </c>
      <c r="AO80" s="3">
        <f t="shared" si="38"/>
        <v>473308.6367474221</v>
      </c>
      <c r="AP80" s="3">
        <f t="shared" si="38"/>
        <v>481411.57725363702</v>
      </c>
      <c r="AQ80" s="3">
        <f t="shared" si="38"/>
        <v>489787.06673118402</v>
      </c>
      <c r="AR80" s="3">
        <f t="shared" si="38"/>
        <v>498448.93480541417</v>
      </c>
      <c r="AS80" s="3">
        <f t="shared" si="38"/>
        <v>507411.80447593343</v>
      </c>
      <c r="AT80" s="3">
        <f t="shared" si="38"/>
        <v>516691.13903055887</v>
      </c>
      <c r="AU80" s="3">
        <f t="shared" si="38"/>
        <v>526303.29175721528</v>
      </c>
      <c r="AV80" s="3">
        <f t="shared" si="38"/>
        <v>536265.55862120748</v>
      </c>
      <c r="AW80" s="3">
        <f t="shared" si="38"/>
        <v>546596.23408533155</v>
      </c>
      <c r="AX80" s="3">
        <f t="shared" si="38"/>
        <v>557314.67026093951</v>
      </c>
      <c r="AY80" s="3">
        <f t="shared" si="38"/>
        <v>568441.33958934911</v>
      </c>
      <c r="AZ80" s="3">
        <f t="shared" si="38"/>
        <v>579997.90126495389</v>
      </c>
      <c r="BA80" s="3">
        <f t="shared" si="38"/>
        <v>592007.27162406314</v>
      </c>
      <c r="BB80" s="3">
        <f t="shared" si="38"/>
        <v>604493.69873695006</v>
      </c>
      <c r="BC80" s="3">
        <f t="shared" si="38"/>
        <v>617482.84145482548</v>
      </c>
      <c r="BD80" s="3">
        <f t="shared" si="38"/>
        <v>631001.85317857249</v>
      </c>
      <c r="BE80" s="3">
        <f t="shared" si="38"/>
        <v>645079.4706320751</v>
      </c>
      <c r="BF80" s="3">
        <f t="shared" si="38"/>
        <v>659746.10793997056</v>
      </c>
      <c r="BG80" s="3">
        <f t="shared" si="38"/>
        <v>675033.95632763265</v>
      </c>
      <c r="BH80" s="3">
        <f t="shared" si="38"/>
        <v>690977.08978029003</v>
      </c>
      <c r="BI80" s="3">
        <f t="shared" si="38"/>
        <v>707611.57701840193</v>
      </c>
    </row>
    <row r="81" spans="1:61" x14ac:dyDescent="0.25">
      <c r="A81" t="s">
        <v>28</v>
      </c>
      <c r="B81" s="3">
        <f t="shared" ref="B81:AG81" si="39">B34</f>
        <v>0</v>
      </c>
      <c r="C81" s="3">
        <f t="shared" si="39"/>
        <v>0</v>
      </c>
      <c r="D81" s="3">
        <f t="shared" si="39"/>
        <v>0</v>
      </c>
      <c r="E81" s="3">
        <f t="shared" si="39"/>
        <v>16580.184638621115</v>
      </c>
      <c r="F81" s="3">
        <f t="shared" si="39"/>
        <v>16621.205585524356</v>
      </c>
      <c r="G81" s="3">
        <f t="shared" si="39"/>
        <v>16663.544223152647</v>
      </c>
      <c r="H81" s="3">
        <f t="shared" si="39"/>
        <v>16707.258544066921</v>
      </c>
      <c r="I81" s="3">
        <f t="shared" si="39"/>
        <v>16752.409380718054</v>
      </c>
      <c r="J81" s="3">
        <f t="shared" si="39"/>
        <v>16799.060548259207</v>
      </c>
      <c r="K81" s="3">
        <f t="shared" si="39"/>
        <v>16847.278994599423</v>
      </c>
      <c r="L81" s="3">
        <f t="shared" si="39"/>
        <v>16897.134958067334</v>
      </c>
      <c r="M81" s="3">
        <f t="shared" si="39"/>
        <v>16948.702133072722</v>
      </c>
      <c r="N81" s="3">
        <f t="shared" si="39"/>
        <v>17002.057844173571</v>
      </c>
      <c r="O81" s="3">
        <f t="shared" si="39"/>
        <v>17229.579019168621</v>
      </c>
      <c r="P81" s="3">
        <f t="shared" si="39"/>
        <v>17461.95636192643</v>
      </c>
      <c r="Q81" s="3">
        <f t="shared" si="39"/>
        <v>17699.376994342278</v>
      </c>
      <c r="R81" s="3">
        <f t="shared" si="39"/>
        <v>17942.037987538602</v>
      </c>
      <c r="S81" s="3">
        <f t="shared" si="39"/>
        <v>18190.14694789112</v>
      </c>
      <c r="T81" s="3">
        <f t="shared" si="39"/>
        <v>18443.922638601653</v>
      </c>
      <c r="U81" s="3">
        <f t="shared" si="39"/>
        <v>18703.59563899551</v>
      </c>
      <c r="V81" s="3">
        <f t="shared" si="39"/>
        <v>18969.409043855649</v>
      </c>
      <c r="W81" s="3">
        <f t="shared" si="39"/>
        <v>19241.619205247949</v>
      </c>
      <c r="X81" s="3">
        <f t="shared" si="39"/>
        <v>19520.496519443361</v>
      </c>
      <c r="Y81" s="3">
        <f t="shared" si="39"/>
        <v>19806.326261703114</v>
      </c>
      <c r="Z81" s="3">
        <f t="shared" si="39"/>
        <v>20099.40947186367</v>
      </c>
      <c r="AA81" s="3">
        <f t="shared" si="39"/>
        <v>20400.063893839171</v>
      </c>
      <c r="AB81" s="3">
        <f t="shared" si="39"/>
        <v>20708.62497235131</v>
      </c>
      <c r="AC81" s="3">
        <f t="shared" si="39"/>
        <v>21025.446910400693</v>
      </c>
      <c r="AD81" s="3">
        <f t="shared" si="39"/>
        <v>21350.903791210483</v>
      </c>
      <c r="AE81" s="3">
        <f t="shared" si="39"/>
        <v>21685.390768603273</v>
      </c>
      <c r="AF81" s="3">
        <f t="shared" si="39"/>
        <v>22029.325330016654</v>
      </c>
      <c r="AG81" s="3">
        <f t="shared" si="39"/>
        <v>22383.148636622333</v>
      </c>
      <c r="AH81" s="3">
        <f t="shared" ref="AH81:BI81" si="40">AH34</f>
        <v>22747.326945289449</v>
      </c>
      <c r="AI81" s="3">
        <f t="shared" si="40"/>
        <v>23122.353117425348</v>
      </c>
      <c r="AJ81" s="3">
        <f t="shared" si="40"/>
        <v>23508.748220037945</v>
      </c>
      <c r="AK81" s="3">
        <f t="shared" si="40"/>
        <v>23907.063224693979</v>
      </c>
      <c r="AL81" s="3">
        <f t="shared" si="40"/>
        <v>24317.880810397957</v>
      </c>
      <c r="AM81" s="3">
        <f t="shared" si="40"/>
        <v>24741.817276788948</v>
      </c>
      <c r="AN81" s="3">
        <f t="shared" si="40"/>
        <v>25179.524574447936</v>
      </c>
      <c r="AO81" s="3">
        <f t="shared" si="40"/>
        <v>25631.692459528153</v>
      </c>
      <c r="AP81" s="3">
        <f t="shared" si="40"/>
        <v>26099.050780366892</v>
      </c>
      <c r="AQ81" s="3">
        <f t="shared" si="40"/>
        <v>26582.371904211326</v>
      </c>
      <c r="AR81" s="3">
        <f t="shared" si="40"/>
        <v>27082.473292693394</v>
      </c>
      <c r="AS81" s="3">
        <f t="shared" si="40"/>
        <v>27600.220235223496</v>
      </c>
      <c r="AT81" s="3">
        <f t="shared" si="40"/>
        <v>28136.528750040448</v>
      </c>
      <c r="AU81" s="3">
        <f t="shared" si="40"/>
        <v>28692.368663257341</v>
      </c>
      <c r="AV81" s="3">
        <f t="shared" si="40"/>
        <v>29268.766876883896</v>
      </c>
      <c r="AW81" s="3">
        <f t="shared" si="40"/>
        <v>29866.810837485307</v>
      </c>
      <c r="AX81" s="3">
        <f t="shared" si="40"/>
        <v>30487.652217860366</v>
      </c>
      <c r="AY81" s="3">
        <f t="shared" si="40"/>
        <v>31132.510824888552</v>
      </c>
      <c r="AZ81" s="3">
        <f t="shared" si="40"/>
        <v>31802.678747510901</v>
      </c>
      <c r="BA81" s="3">
        <f t="shared" si="40"/>
        <v>32499.524759674961</v>
      </c>
      <c r="BB81" s="3">
        <f t="shared" si="40"/>
        <v>33224.49899399381</v>
      </c>
      <c r="BC81" s="3">
        <f t="shared" si="40"/>
        <v>33979.137902845636</v>
      </c>
      <c r="BD81" s="3">
        <f t="shared" si="40"/>
        <v>34765.069524678125</v>
      </c>
      <c r="BE81" s="3">
        <f t="shared" si="40"/>
        <v>35584.019074383788</v>
      </c>
      <c r="BF81" s="3">
        <f t="shared" si="40"/>
        <v>36437.814877783574</v>
      </c>
      <c r="BG81" s="3">
        <f t="shared" si="40"/>
        <v>37328.394671499074</v>
      </c>
      <c r="BH81" s="3">
        <f t="shared" si="40"/>
        <v>38257.812290815986</v>
      </c>
      <c r="BI81" s="3">
        <f t="shared" si="40"/>
        <v>39228.24476954378</v>
      </c>
    </row>
    <row r="82" spans="1:61" x14ac:dyDescent="0.25">
      <c r="A82" t="s">
        <v>29</v>
      </c>
      <c r="B82" s="3">
        <f t="shared" ref="B82:AK82" si="41">B80+B81</f>
        <v>0</v>
      </c>
      <c r="C82" s="3">
        <f t="shared" si="41"/>
        <v>0</v>
      </c>
      <c r="D82" s="3">
        <f t="shared" si="41"/>
        <v>0</v>
      </c>
      <c r="E82" s="3">
        <f t="shared" si="41"/>
        <v>331206.90902411891</v>
      </c>
      <c r="F82" s="3">
        <f t="shared" si="41"/>
        <v>332036.31859245186</v>
      </c>
      <c r="G82" s="3">
        <f t="shared" si="41"/>
        <v>332893.00615725148</v>
      </c>
      <c r="H82" s="3">
        <f t="shared" si="41"/>
        <v>333778.15070075815</v>
      </c>
      <c r="I82" s="3">
        <f t="shared" si="41"/>
        <v>334692.98793653696</v>
      </c>
      <c r="J82" s="3">
        <f t="shared" si="41"/>
        <v>335638.81312758569</v>
      </c>
      <c r="K82" s="3">
        <f t="shared" si="41"/>
        <v>336616.98404606921</v>
      </c>
      <c r="L82" s="3">
        <f t="shared" si="41"/>
        <v>337628.92408184428</v>
      </c>
      <c r="M82" s="3">
        <f t="shared" si="41"/>
        <v>338676.12550730631</v>
      </c>
      <c r="N82" s="3">
        <f t="shared" si="41"/>
        <v>339760.15290647442</v>
      </c>
      <c r="O82" s="3">
        <f t="shared" si="41"/>
        <v>343988.35813739203</v>
      </c>
      <c r="P82" s="3">
        <f t="shared" si="41"/>
        <v>348304.32389851363</v>
      </c>
      <c r="Q82" s="3">
        <f t="shared" si="41"/>
        <v>352711.46171186015</v>
      </c>
      <c r="R82" s="3">
        <f t="shared" si="41"/>
        <v>357213.36372642132</v>
      </c>
      <c r="S82" s="3">
        <f t="shared" si="41"/>
        <v>361813.81317346141</v>
      </c>
      <c r="T82" s="3">
        <f t="shared" si="41"/>
        <v>366516.79544155265</v>
      </c>
      <c r="U82" s="3">
        <f t="shared" si="41"/>
        <v>371326.50980833959</v>
      </c>
      <c r="V82" s="3">
        <f t="shared" si="41"/>
        <v>376247.38186826074</v>
      </c>
      <c r="W82" s="3">
        <f t="shared" si="41"/>
        <v>381284.07669779606</v>
      </c>
      <c r="X82" s="3">
        <f t="shared" si="41"/>
        <v>386441.51280230709</v>
      </c>
      <c r="Y82" s="3">
        <f t="shared" si="41"/>
        <v>391724.87689117045</v>
      </c>
      <c r="Z82" s="3">
        <f t="shared" si="41"/>
        <v>397139.63953070855</v>
      </c>
      <c r="AA82" s="3">
        <f t="shared" si="41"/>
        <v>402691.57172738819</v>
      </c>
      <c r="AB82" s="3">
        <f t="shared" si="41"/>
        <v>408386.76249689836</v>
      </c>
      <c r="AC82" s="3">
        <f t="shared" si="41"/>
        <v>414231.6374780605</v>
      </c>
      <c r="AD82" s="3">
        <f t="shared" si="41"/>
        <v>420232.97865405004</v>
      </c>
      <c r="AE82" s="3">
        <f t="shared" si="41"/>
        <v>426397.94524716056</v>
      </c>
      <c r="AF82" s="3">
        <f t="shared" si="41"/>
        <v>432734.09585731325</v>
      </c>
      <c r="AG82" s="3">
        <f t="shared" si="41"/>
        <v>439249.41191872105</v>
      </c>
      <c r="AH82" s="3">
        <f t="shared" si="41"/>
        <v>445952.32255358418</v>
      </c>
      <c r="AI82" s="3">
        <f t="shared" si="41"/>
        <v>452851.73090642475</v>
      </c>
      <c r="AJ82" s="3">
        <f t="shared" si="41"/>
        <v>459957.04204768065</v>
      </c>
      <c r="AK82" s="3">
        <f t="shared" si="41"/>
        <v>467278.19254050322</v>
      </c>
      <c r="AL82" s="3">
        <f t="shared" ref="AL82:BI82" si="42">AL80+AL81</f>
        <v>474825.68177033367</v>
      </c>
      <c r="AM82" s="3">
        <f t="shared" si="42"/>
        <v>482610.60514281451</v>
      </c>
      <c r="AN82" s="3">
        <f t="shared" si="42"/>
        <v>490644.68926192523</v>
      </c>
      <c r="AO82" s="3">
        <f t="shared" si="42"/>
        <v>498940.32920695026</v>
      </c>
      <c r="AP82" s="3">
        <f t="shared" si="42"/>
        <v>507510.62803400389</v>
      </c>
      <c r="AQ82" s="3">
        <f t="shared" si="42"/>
        <v>516369.43863539537</v>
      </c>
      <c r="AR82" s="3">
        <f t="shared" si="42"/>
        <v>525531.40809810755</v>
      </c>
      <c r="AS82" s="3">
        <f t="shared" si="42"/>
        <v>535012.02471115696</v>
      </c>
      <c r="AT82" s="3">
        <f t="shared" si="42"/>
        <v>544827.66778059932</v>
      </c>
      <c r="AU82" s="3">
        <f t="shared" si="42"/>
        <v>554995.66042047262</v>
      </c>
      <c r="AV82" s="3">
        <f t="shared" si="42"/>
        <v>565534.32549809141</v>
      </c>
      <c r="AW82" s="3">
        <f t="shared" si="42"/>
        <v>576463.04492281692</v>
      </c>
      <c r="AX82" s="3">
        <f t="shared" si="42"/>
        <v>587802.32247879985</v>
      </c>
      <c r="AY82" s="3">
        <f t="shared" si="42"/>
        <v>599573.85041423771</v>
      </c>
      <c r="AZ82" s="3">
        <f t="shared" si="42"/>
        <v>611800.58001246478</v>
      </c>
      <c r="BA82" s="3">
        <f t="shared" si="42"/>
        <v>624506.79638373805</v>
      </c>
      <c r="BB82" s="3">
        <f t="shared" si="42"/>
        <v>637718.19773094391</v>
      </c>
      <c r="BC82" s="3">
        <f t="shared" si="42"/>
        <v>651461.97935767111</v>
      </c>
      <c r="BD82" s="3">
        <f t="shared" si="42"/>
        <v>665766.92270325066</v>
      </c>
      <c r="BE82" s="3">
        <f t="shared" si="42"/>
        <v>680663.48970645887</v>
      </c>
      <c r="BF82" s="3">
        <f t="shared" si="42"/>
        <v>696183.92281775409</v>
      </c>
      <c r="BG82" s="3">
        <f t="shared" si="42"/>
        <v>712362.35099913168</v>
      </c>
      <c r="BH82" s="3">
        <f t="shared" si="42"/>
        <v>729234.90207110601</v>
      </c>
      <c r="BI82" s="3">
        <f t="shared" si="42"/>
        <v>746839.82178794569</v>
      </c>
    </row>
    <row r="83" spans="1:61" x14ac:dyDescent="0.25">
      <c r="A83" t="s">
        <v>30</v>
      </c>
      <c r="B83" s="3">
        <f>IF(AND(E19&lt;=B78,E19+(C19*12)&gt;B78),((B19-D19)/C19)/12,0)+IF(AND(E22&lt;=B78,E22+(C22*12)&gt;B78),((B22-D22)/C22)/12,0)</f>
        <v>1994.0476190476188</v>
      </c>
      <c r="C83" s="3">
        <f>IF(AND(E19&lt;=C78,E19+(C19*12)&gt;C78),((B19-D19)/C19)/12,0)+IF(AND(E22&lt;=C78,E22+(C22*12)&gt;C78),((B22-D22)/C22)/12,0)</f>
        <v>1994.0476190476188</v>
      </c>
      <c r="D83" s="3">
        <f>IF(AND(E19&lt;=D78,E19+(C19*12)&gt;D78),((B19-D19)/C19)/12,0)+IF(AND(E22&lt;=D78,E22+(C22*12)&gt;D78),((B22-D22)/C22)/12,0)</f>
        <v>1994.0476190476188</v>
      </c>
      <c r="E83" s="3">
        <f>IF(AND(E19&lt;=E78,E19+(C19*12)&gt;E78),((B19-D19)/C19)/12,0)+IF(AND(E22&lt;=E78,E22+(C22*12)&gt;E78),((B22-D22)/C22)/12,0)</f>
        <v>1994.0476190476188</v>
      </c>
      <c r="F83" s="3">
        <f>IF(AND(E19&lt;=F78,E19+(C19*12)&gt;F78),((B19-D19)/C19)/12,0)+IF(AND(E22&lt;=F78,E22+(C22*12)&gt;F78),((B22-D22)/C22)/12,0)</f>
        <v>1994.0476190476188</v>
      </c>
      <c r="G83" s="3">
        <f>IF(AND(E19&lt;=G78,E19+(C19*12)&gt;G78),((B19-D19)/C19)/12,0)+IF(AND(E22&lt;=G78,E22+(C22*12)&gt;G78),((B22-D22)/C22)/12,0)</f>
        <v>1994.0476190476188</v>
      </c>
      <c r="H83" s="3">
        <f>IF(AND(E19&lt;=H78,E19+(C19*12)&gt;H78),((B19-D19)/C19)/12,0)+IF(AND(E22&lt;=H78,E22+(C22*12)&gt;H78),((B22-D22)/C22)/12,0)</f>
        <v>1994.0476190476188</v>
      </c>
      <c r="I83" s="3">
        <f>IF(AND(E19&lt;=I78,E19+(C19*12)&gt;I78),((B19-D19)/C19)/12,0)+IF(AND(E22&lt;=I78,E22+(C22*12)&gt;I78),((B22-D22)/C22)/12,0)</f>
        <v>1994.0476190476188</v>
      </c>
      <c r="J83" s="3">
        <f>IF(AND(E19&lt;=J78,E19+(C19*12)&gt;J78),((B19-D19)/C19)/12,0)+IF(AND(E22&lt;=J78,E22+(C22*12)&gt;J78),((B22-D22)/C22)/12,0)</f>
        <v>1994.0476190476188</v>
      </c>
      <c r="K83" s="3">
        <f>IF(AND(E19&lt;=K78,E19+(C19*12)&gt;K78),((B19-D19)/C19)/12,0)+IF(AND(E22&lt;=K78,E22+(C22*12)&gt;K78),((B22-D22)/C22)/12,0)</f>
        <v>1994.0476190476188</v>
      </c>
      <c r="L83" s="3">
        <f>IF(AND(E19&lt;=L78,E19+(C19*12)&gt;L78),((B19-D19)/C19)/12,0)+IF(AND(E22&lt;=L78,E22+(C22*12)&gt;L78),((B22-D22)/C22)/12,0)</f>
        <v>1994.0476190476188</v>
      </c>
      <c r="M83" s="3">
        <f>IF(AND(E19&lt;=M78,E19+(C19*12)&gt;M78),((B19-D19)/C19)/12,0)+IF(AND(E22&lt;=M78,E22+(C22*12)&gt;M78),((B22-D22)/C22)/12,0)</f>
        <v>1994.0476190476188</v>
      </c>
      <c r="N83" s="3">
        <f>IF(AND(E19&lt;=N78,E19+(C19*12)&gt;N78),((B19-D19)/C19)/12,0)+IF(AND(E22&lt;=N78,E22+(C22*12)&gt;N78),((B22-D22)/C22)/12,0)</f>
        <v>1994.0476190476188</v>
      </c>
      <c r="O83" s="3">
        <f>IF(AND(E19&lt;=O78,E19+(C19*12)&gt;O78),((B19-D19)/C19)/12,0)+IF(AND(E22&lt;=O78,E22+(C22*12)&gt;O78),((B22-D22)/C22)/12,0)</f>
        <v>1994.0476190476188</v>
      </c>
      <c r="P83" s="3">
        <f>IF(AND(E19&lt;=P78,E19+(C19*12)&gt;P78),((B19-D19)/C19)/12,0)+IF(AND(E22&lt;=P78,E22+(C22*12)&gt;P78),((B22-D22)/C22)/12,0)</f>
        <v>1994.0476190476188</v>
      </c>
      <c r="Q83" s="3">
        <f>IF(AND(E19&lt;=Q78,E19+(C19*12)&gt;Q78),((B19-D19)/C19)/12,0)+IF(AND(E22&lt;=Q78,E22+(C22*12)&gt;Q78),((B22-D22)/C22)/12,0)</f>
        <v>1994.0476190476188</v>
      </c>
      <c r="R83" s="3">
        <f>IF(AND(E19&lt;=R78,E19+(C19*12)&gt;R78),((B19-D19)/C19)/12,0)+IF(AND(E22&lt;=R78,E22+(C22*12)&gt;R78),((B22-D22)/C22)/12,0)</f>
        <v>1994.0476190476188</v>
      </c>
      <c r="S83" s="3">
        <f>IF(AND(E19&lt;=S78,E19+(C19*12)&gt;S78),((B19-D19)/C19)/12,0)+IF(AND(E22&lt;=S78,E22+(C22*12)&gt;S78),((B22-D22)/C22)/12,0)</f>
        <v>1994.0476190476188</v>
      </c>
      <c r="T83" s="3">
        <f>IF(AND(E19&lt;=T78,E19+(C19*12)&gt;T78),((B19-D19)/C19)/12,0)+IF(AND(E22&lt;=T78,E22+(C22*12)&gt;T78),((B22-D22)/C22)/12,0)</f>
        <v>1994.0476190476188</v>
      </c>
      <c r="U83" s="3">
        <f>IF(AND(E19&lt;=U78,E19+(C19*12)&gt;U78),((B19-D19)/C19)/12,0)+IF(AND(E22&lt;=U78,E22+(C22*12)&gt;U78),((B22-D22)/C22)/12,0)</f>
        <v>1994.0476190476188</v>
      </c>
      <c r="V83" s="3">
        <f>IF(AND(E19&lt;=V78,E19+(C19*12)&gt;V78),((B19-D19)/C19)/12,0)+IF(AND(E22&lt;=V78,E22+(C22*12)&gt;V78),((B22-D22)/C22)/12,0)</f>
        <v>1994.0476190476188</v>
      </c>
      <c r="W83" s="3">
        <f>IF(AND(E19&lt;=W78,E19+(C19*12)&gt;W78),((B19-D19)/C19)/12,0)+IF(AND(E22&lt;=W78,E22+(C22*12)&gt;W78),((B22-D22)/C22)/12,0)</f>
        <v>1994.0476190476188</v>
      </c>
      <c r="X83" s="3">
        <f>IF(AND(E19&lt;=X78,E19+(C19*12)&gt;X78),((B19-D19)/C19)/12,0)+IF(AND(E22&lt;=X78,E22+(C22*12)&gt;X78),((B22-D22)/C22)/12,0)</f>
        <v>1994.0476190476188</v>
      </c>
      <c r="Y83" s="3">
        <f>IF(AND(E19&lt;=Y78,E19+(C19*12)&gt;Y78),((B19-D19)/C19)/12,0)+IF(AND(E22&lt;=Y78,E22+(C22*12)&gt;Y78),((B22-D22)/C22)/12,0)</f>
        <v>1994.0476190476188</v>
      </c>
      <c r="Z83" s="3">
        <f>IF(AND(E19&lt;=Z78,E19+(C19*12)&gt;Z78),((B19-D19)/C19)/12,0)+IF(AND(E22&lt;=Z78,E22+(C22*12)&gt;Z78),((B22-D22)/C22)/12,0)</f>
        <v>1994.0476190476188</v>
      </c>
      <c r="AA83" s="3">
        <f>IF(AND(E19&lt;=AA78,E19+(C19*12)&gt;AA78),((B19-D19)/C19)/12,0)+IF(AND(E22&lt;=AA78,E22+(C22*12)&gt;AA78),((B22-D22)/C22)/12,0)</f>
        <v>1994.0476190476188</v>
      </c>
      <c r="AB83" s="3">
        <f>IF(AND(E19&lt;=AB78,E19+(C19*12)&gt;AB78),((B19-D19)/C19)/12,0)+IF(AND(E22&lt;=AB78,E22+(C22*12)&gt;AB78),((B22-D22)/C22)/12,0)</f>
        <v>1994.0476190476188</v>
      </c>
      <c r="AC83" s="3">
        <f>IF(AND(E19&lt;=AC78,E19+(C19*12)&gt;AC78),((B19-D19)/C19)/12,0)+IF(AND(E22&lt;=AC78,E22+(C22*12)&gt;AC78),((B22-D22)/C22)/12,0)</f>
        <v>1994.0476190476188</v>
      </c>
      <c r="AD83" s="3">
        <f>IF(AND(E19&lt;=AD78,E19+(C19*12)&gt;AD78),((B19-D19)/C19)/12,0)+IF(AND(E22&lt;=AD78,E22+(C22*12)&gt;AD78),((B22-D22)/C22)/12,0)</f>
        <v>1994.0476190476188</v>
      </c>
      <c r="AE83" s="3">
        <f>IF(AND(E19&lt;=AE78,E19+(C19*12)&gt;AE78),((B19-D19)/C19)/12,0)+IF(AND(E22&lt;=AE78,E22+(C22*12)&gt;AE78),((B22-D22)/C22)/12,0)</f>
        <v>1994.0476190476188</v>
      </c>
      <c r="AF83" s="3">
        <f>IF(AND(E19&lt;=AF78,E19+(C19*12)&gt;AF78),((B19-D19)/C19)/12,0)+IF(AND(E22&lt;=AF78,E22+(C22*12)&gt;AF78),((B22-D22)/C22)/12,0)</f>
        <v>1994.0476190476188</v>
      </c>
      <c r="AG83" s="3">
        <f>IF(AND(E19&lt;=AG78,E19+(C19*12)&gt;AG78),((B19-D19)/C19)/12,0)+IF(AND(E22&lt;=AG78,E22+(C22*12)&gt;AG78),((B22-D22)/C22)/12,0)</f>
        <v>1994.0476190476188</v>
      </c>
      <c r="AH83" s="3">
        <f>IF(AND(E19&lt;=AH78,E19+(C19*12)&gt;AH78),((B19-D19)/C19)/12,0)+IF(AND(E22&lt;=AH78,E22+(C22*12)&gt;AH78),((B22-D22)/C22)/12,0)</f>
        <v>1994.0476190476188</v>
      </c>
      <c r="AI83" s="3">
        <f>IF(AND(E19&lt;=AI78,E19+(C19*12)&gt;AI78),((B19-D19)/C19)/12,0)+IF(AND(E22&lt;=AI78,E22+(C22*12)&gt;AI78),((B22-D22)/C22)/12,0)</f>
        <v>1994.0476190476188</v>
      </c>
      <c r="AJ83" s="3">
        <f>IF(AND(E19&lt;=AJ78,E19+(C19*12)&gt;AJ78),((B19-D19)/C19)/12,0)+IF(AND(E22&lt;=AJ78,E22+(C22*12)&gt;AJ78),((B22-D22)/C22)/12,0)</f>
        <v>1994.0476190476188</v>
      </c>
      <c r="AK83" s="3">
        <f>IF(AND($E$19&lt;=AK78,$E$19+($C$19*12)&gt;AK78),(($B$19-$D$19)/$C$19)/12,0)+IF(AND($E$22&lt;=AK78,$E$22+($C$22*12)&gt;AK78),(($B$22-$D$22)/$C$22)/12,0)</f>
        <v>1994.0476190476188</v>
      </c>
      <c r="AL83" s="3">
        <f t="shared" ref="AL83:BI83" si="43">IF(AND($E$19&lt;=AL78,$E$19+($C$19*12)&gt;AL78),(($B$19-$D$19)/$C$19)/12,0)+IF(AND($E$22&lt;=AL78,$E$22+($C$22*12)&gt;AL78),(($B$22-$D$22)/$C$22)/12,0)</f>
        <v>1994.0476190476188</v>
      </c>
      <c r="AM83" s="3">
        <f t="shared" si="43"/>
        <v>1994.0476190476188</v>
      </c>
      <c r="AN83" s="3">
        <f t="shared" si="43"/>
        <v>1994.0476190476188</v>
      </c>
      <c r="AO83" s="3">
        <f t="shared" si="43"/>
        <v>1994.0476190476188</v>
      </c>
      <c r="AP83" s="3">
        <f t="shared" si="43"/>
        <v>1994.0476190476188</v>
      </c>
      <c r="AQ83" s="3">
        <f t="shared" si="43"/>
        <v>1994.0476190476188</v>
      </c>
      <c r="AR83" s="3">
        <f t="shared" si="43"/>
        <v>1994.0476190476188</v>
      </c>
      <c r="AS83" s="3">
        <f t="shared" si="43"/>
        <v>1994.0476190476188</v>
      </c>
      <c r="AT83" s="3">
        <f t="shared" si="43"/>
        <v>1994.0476190476188</v>
      </c>
      <c r="AU83" s="3">
        <f t="shared" si="43"/>
        <v>1994.0476190476188</v>
      </c>
      <c r="AV83" s="3">
        <f t="shared" si="43"/>
        <v>1994.0476190476188</v>
      </c>
      <c r="AW83" s="3">
        <f t="shared" si="43"/>
        <v>1785.7142857142856</v>
      </c>
      <c r="AX83" s="3">
        <f t="shared" si="43"/>
        <v>1785.7142857142856</v>
      </c>
      <c r="AY83" s="3">
        <f t="shared" si="43"/>
        <v>1785.7142857142856</v>
      </c>
      <c r="AZ83" s="3">
        <f t="shared" si="43"/>
        <v>1785.7142857142856</v>
      </c>
      <c r="BA83" s="3">
        <f t="shared" si="43"/>
        <v>1785.7142857142856</v>
      </c>
      <c r="BB83" s="3">
        <f t="shared" si="43"/>
        <v>1785.7142857142856</v>
      </c>
      <c r="BC83" s="3">
        <f t="shared" si="43"/>
        <v>1785.7142857142856</v>
      </c>
      <c r="BD83" s="3">
        <f t="shared" si="43"/>
        <v>1785.7142857142856</v>
      </c>
      <c r="BE83" s="3">
        <f t="shared" si="43"/>
        <v>1785.7142857142856</v>
      </c>
      <c r="BF83" s="3">
        <f t="shared" si="43"/>
        <v>1785.7142857142856</v>
      </c>
      <c r="BG83" s="3">
        <f t="shared" si="43"/>
        <v>1785.7142857142856</v>
      </c>
      <c r="BH83" s="3">
        <f t="shared" si="43"/>
        <v>1785.7142857142856</v>
      </c>
      <c r="BI83" s="3">
        <f t="shared" si="43"/>
        <v>1785.7142857142856</v>
      </c>
    </row>
    <row r="84" spans="1:61" x14ac:dyDescent="0.25">
      <c r="A84" t="str">
        <f>SUBSTITUTE(A26," Days to Get Paid","",1)</f>
        <v>Sales</v>
      </c>
      <c r="B84" s="3">
        <f>B79</f>
        <v>0</v>
      </c>
      <c r="C84" s="3">
        <f t="shared" ref="C84:BI84" si="44">C79</f>
        <v>0</v>
      </c>
      <c r="D84" s="3">
        <f t="shared" si="44"/>
        <v>0</v>
      </c>
      <c r="E84" s="3">
        <f t="shared" si="44"/>
        <v>756420.07840485335</v>
      </c>
      <c r="F84" s="3">
        <f t="shared" si="44"/>
        <v>766044.39537458599</v>
      </c>
      <c r="G84" s="3">
        <f t="shared" si="44"/>
        <v>775849.20411156677</v>
      </c>
      <c r="H84" s="3">
        <f t="shared" si="44"/>
        <v>785840.58798750117</v>
      </c>
      <c r="I84" s="3">
        <f t="shared" si="44"/>
        <v>796024.93492217374</v>
      </c>
      <c r="J84" s="3">
        <f t="shared" si="44"/>
        <v>806408.95501284103</v>
      </c>
      <c r="K84" s="3">
        <f t="shared" si="44"/>
        <v>816999.69923071284</v>
      </c>
      <c r="L84" s="3">
        <f t="shared" si="44"/>
        <v>827804.57925013825</v>
      </c>
      <c r="M84" s="3">
        <f t="shared" si="44"/>
        <v>838831.38848018786</v>
      </c>
      <c r="N84" s="3">
        <f t="shared" si="44"/>
        <v>850088.32437264081</v>
      </c>
      <c r="O84" s="3">
        <f t="shared" si="44"/>
        <v>861584.01208497211</v>
      </c>
      <c r="P84" s="3">
        <f t="shared" si="44"/>
        <v>873327.52958181791</v>
      </c>
      <c r="Q84" s="3">
        <f t="shared" si="44"/>
        <v>885328.43426357163</v>
      </c>
      <c r="R84" s="3">
        <f t="shared" si="44"/>
        <v>897596.79121627589</v>
      </c>
      <c r="S84" s="3">
        <f t="shared" si="44"/>
        <v>910143.20318281383</v>
      </c>
      <c r="T84" s="3">
        <f t="shared" si="44"/>
        <v>922978.84236162668</v>
      </c>
      <c r="U84" s="3">
        <f t="shared" si="44"/>
        <v>936115.48414577346</v>
      </c>
      <c r="V84" s="3">
        <f t="shared" si="44"/>
        <v>949565.54292218061</v>
      </c>
      <c r="W84" s="3">
        <f t="shared" si="44"/>
        <v>963342.11005836294</v>
      </c>
      <c r="X84" s="3">
        <f t="shared" si="44"/>
        <v>977458.99421183008</v>
      </c>
      <c r="Y84" s="3">
        <f t="shared" si="44"/>
        <v>991930.7641058024</v>
      </c>
      <c r="Z84" s="3">
        <f t="shared" si="44"/>
        <v>1006772.7939237964</v>
      </c>
      <c r="AA84" s="3">
        <f t="shared" si="44"/>
        <v>1022001.3114851539</v>
      </c>
      <c r="AB84" s="3">
        <f t="shared" si="44"/>
        <v>1037633.449373667</v>
      </c>
      <c r="AC84" s="3">
        <f t="shared" si="44"/>
        <v>1053687.2992021989</v>
      </c>
      <c r="AD84" s="3">
        <f t="shared" si="44"/>
        <v>1070181.9692075853</v>
      </c>
      <c r="AE84" s="3">
        <f t="shared" si="44"/>
        <v>1087137.6453822213</v>
      </c>
      <c r="AF84" s="3">
        <f t="shared" si="44"/>
        <v>1104575.656361626</v>
      </c>
      <c r="AG84" s="3">
        <f t="shared" si="44"/>
        <v>1122518.5423009391</v>
      </c>
      <c r="AH84" s="3">
        <f t="shared" si="44"/>
        <v>1140990.1279878663</v>
      </c>
      <c r="AI84" s="3">
        <f t="shared" si="44"/>
        <v>1160015.6004550301</v>
      </c>
      <c r="AJ84" s="3">
        <f t="shared" si="44"/>
        <v>1179621.5913711197</v>
      </c>
      <c r="AK84" s="3">
        <f t="shared" si="44"/>
        <v>1199836.2645076837</v>
      </c>
      <c r="AL84" s="3">
        <f t="shared" si="44"/>
        <v>1220689.4085969687</v>
      </c>
      <c r="AM84" s="3">
        <f t="shared" si="44"/>
        <v>1242212.5359159256</v>
      </c>
      <c r="AN84" s="3">
        <f t="shared" si="44"/>
        <v>1264438.9869524711</v>
      </c>
      <c r="AO84" s="3">
        <f t="shared" si="44"/>
        <v>1287404.0415323726</v>
      </c>
      <c r="AP84" s="3">
        <f t="shared" si="44"/>
        <v>1311145.0368087951</v>
      </c>
      <c r="AQ84" s="3">
        <f t="shared" si="44"/>
        <v>1335701.4925417521</v>
      </c>
      <c r="AR84" s="3">
        <f t="shared" si="44"/>
        <v>1361115.2441214316</v>
      </c>
      <c r="AS84" s="3">
        <f t="shared" si="44"/>
        <v>1387430.583817827</v>
      </c>
      <c r="AT84" s="3">
        <f t="shared" si="44"/>
        <v>1414694.4107693569</v>
      </c>
      <c r="AU84" s="3">
        <f t="shared" si="44"/>
        <v>1442956.3902552729</v>
      </c>
      <c r="AV84" s="3">
        <f t="shared" si="44"/>
        <v>1472269.1228308608</v>
      </c>
      <c r="AW84" s="3">
        <f t="shared" si="44"/>
        <v>1502688.3239407423</v>
      </c>
      <c r="AX84" s="3">
        <f t="shared" si="44"/>
        <v>1534273.0146642369</v>
      </c>
      <c r="AY84" s="3">
        <f t="shared" si="44"/>
        <v>1567085.7242877791</v>
      </c>
      <c r="AZ84" s="3">
        <f t="shared" si="44"/>
        <v>1601192.7054430686</v>
      </c>
      <c r="BA84" s="3">
        <f t="shared" si="44"/>
        <v>1636664.1625960243</v>
      </c>
      <c r="BB84" s="3">
        <f t="shared" si="44"/>
        <v>1673574.4947209877</v>
      </c>
      <c r="BC84" s="3">
        <f t="shared" si="44"/>
        <v>1712002.5530470735</v>
      </c>
      <c r="BD84" s="3">
        <f t="shared" si="44"/>
        <v>1752031.9148193756</v>
      </c>
      <c r="BE84" s="3">
        <f t="shared" si="44"/>
        <v>1793751.1740770428</v>
      </c>
      <c r="BF84" s="3">
        <f t="shared" si="44"/>
        <v>1837254.2505133438</v>
      </c>
      <c r="BG84" s="3">
        <f t="shared" si="44"/>
        <v>1882640.7175498905</v>
      </c>
      <c r="BH84" s="3">
        <f t="shared" si="44"/>
        <v>1930016.1508285464</v>
      </c>
      <c r="BI84" s="3">
        <f t="shared" si="44"/>
        <v>1979492.4984003715</v>
      </c>
    </row>
    <row r="85" spans="1:61" x14ac:dyDescent="0.25">
      <c r="A85" t="s">
        <v>31</v>
      </c>
      <c r="B85" s="3">
        <f t="shared" ref="B85:AK85" si="45">SUM(B84:B84)</f>
        <v>0</v>
      </c>
      <c r="C85" s="3">
        <f t="shared" si="45"/>
        <v>0</v>
      </c>
      <c r="D85" s="3">
        <f t="shared" si="45"/>
        <v>0</v>
      </c>
      <c r="E85" s="3">
        <f t="shared" si="45"/>
        <v>756420.07840485335</v>
      </c>
      <c r="F85" s="3">
        <f t="shared" si="45"/>
        <v>766044.39537458599</v>
      </c>
      <c r="G85" s="3">
        <f t="shared" si="45"/>
        <v>775849.20411156677</v>
      </c>
      <c r="H85" s="3">
        <f t="shared" si="45"/>
        <v>785840.58798750117</v>
      </c>
      <c r="I85" s="3">
        <f t="shared" si="45"/>
        <v>796024.93492217374</v>
      </c>
      <c r="J85" s="3">
        <f t="shared" si="45"/>
        <v>806408.95501284103</v>
      </c>
      <c r="K85" s="3">
        <f t="shared" si="45"/>
        <v>816999.69923071284</v>
      </c>
      <c r="L85" s="3">
        <f t="shared" si="45"/>
        <v>827804.57925013825</v>
      </c>
      <c r="M85" s="3">
        <f t="shared" si="45"/>
        <v>838831.38848018786</v>
      </c>
      <c r="N85" s="3">
        <f t="shared" si="45"/>
        <v>850088.32437264081</v>
      </c>
      <c r="O85" s="3">
        <f t="shared" si="45"/>
        <v>861584.01208497211</v>
      </c>
      <c r="P85" s="3">
        <f t="shared" si="45"/>
        <v>873327.52958181791</v>
      </c>
      <c r="Q85" s="3">
        <f t="shared" si="45"/>
        <v>885328.43426357163</v>
      </c>
      <c r="R85" s="3">
        <f t="shared" si="45"/>
        <v>897596.79121627589</v>
      </c>
      <c r="S85" s="3">
        <f t="shared" si="45"/>
        <v>910143.20318281383</v>
      </c>
      <c r="T85" s="3">
        <f t="shared" si="45"/>
        <v>922978.84236162668</v>
      </c>
      <c r="U85" s="3">
        <f t="shared" si="45"/>
        <v>936115.48414577346</v>
      </c>
      <c r="V85" s="3">
        <f t="shared" si="45"/>
        <v>949565.54292218061</v>
      </c>
      <c r="W85" s="3">
        <f t="shared" si="45"/>
        <v>963342.11005836294</v>
      </c>
      <c r="X85" s="3">
        <f t="shared" si="45"/>
        <v>977458.99421183008</v>
      </c>
      <c r="Y85" s="3">
        <f t="shared" si="45"/>
        <v>991930.7641058024</v>
      </c>
      <c r="Z85" s="3">
        <f t="shared" si="45"/>
        <v>1006772.7939237964</v>
      </c>
      <c r="AA85" s="3">
        <f t="shared" si="45"/>
        <v>1022001.3114851539</v>
      </c>
      <c r="AB85" s="3">
        <f t="shared" si="45"/>
        <v>1037633.449373667</v>
      </c>
      <c r="AC85" s="3">
        <f t="shared" si="45"/>
        <v>1053687.2992021989</v>
      </c>
      <c r="AD85" s="3">
        <f t="shared" si="45"/>
        <v>1070181.9692075853</v>
      </c>
      <c r="AE85" s="3">
        <f t="shared" si="45"/>
        <v>1087137.6453822213</v>
      </c>
      <c r="AF85" s="3">
        <f t="shared" si="45"/>
        <v>1104575.656361626</v>
      </c>
      <c r="AG85" s="3">
        <f t="shared" si="45"/>
        <v>1122518.5423009391</v>
      </c>
      <c r="AH85" s="3">
        <f t="shared" si="45"/>
        <v>1140990.1279878663</v>
      </c>
      <c r="AI85" s="3">
        <f t="shared" si="45"/>
        <v>1160015.6004550301</v>
      </c>
      <c r="AJ85" s="3">
        <f t="shared" si="45"/>
        <v>1179621.5913711197</v>
      </c>
      <c r="AK85" s="3">
        <f t="shared" si="45"/>
        <v>1199836.2645076837</v>
      </c>
      <c r="AL85" s="3">
        <f t="shared" ref="AL85:BI85" si="46">SUM(AL84:AL84)</f>
        <v>1220689.4085969687</v>
      </c>
      <c r="AM85" s="3">
        <f t="shared" si="46"/>
        <v>1242212.5359159256</v>
      </c>
      <c r="AN85" s="3">
        <f t="shared" si="46"/>
        <v>1264438.9869524711</v>
      </c>
      <c r="AO85" s="3">
        <f t="shared" si="46"/>
        <v>1287404.0415323726</v>
      </c>
      <c r="AP85" s="3">
        <f t="shared" si="46"/>
        <v>1311145.0368087951</v>
      </c>
      <c r="AQ85" s="3">
        <f t="shared" si="46"/>
        <v>1335701.4925417521</v>
      </c>
      <c r="AR85" s="3">
        <f t="shared" si="46"/>
        <v>1361115.2441214316</v>
      </c>
      <c r="AS85" s="3">
        <f t="shared" si="46"/>
        <v>1387430.583817827</v>
      </c>
      <c r="AT85" s="3">
        <f t="shared" si="46"/>
        <v>1414694.4107693569</v>
      </c>
      <c r="AU85" s="3">
        <f t="shared" si="46"/>
        <v>1442956.3902552729</v>
      </c>
      <c r="AV85" s="3">
        <f t="shared" si="46"/>
        <v>1472269.1228308608</v>
      </c>
      <c r="AW85" s="3">
        <f t="shared" si="46"/>
        <v>1502688.3239407423</v>
      </c>
      <c r="AX85" s="3">
        <f t="shared" si="46"/>
        <v>1534273.0146642369</v>
      </c>
      <c r="AY85" s="3">
        <f t="shared" si="46"/>
        <v>1567085.7242877791</v>
      </c>
      <c r="AZ85" s="3">
        <f t="shared" si="46"/>
        <v>1601192.7054430686</v>
      </c>
      <c r="BA85" s="3">
        <f t="shared" si="46"/>
        <v>1636664.1625960243</v>
      </c>
      <c r="BB85" s="3">
        <f t="shared" si="46"/>
        <v>1673574.4947209877</v>
      </c>
      <c r="BC85" s="3">
        <f t="shared" si="46"/>
        <v>1712002.5530470735</v>
      </c>
      <c r="BD85" s="3">
        <f t="shared" si="46"/>
        <v>1752031.9148193756</v>
      </c>
      <c r="BE85" s="3">
        <f t="shared" si="46"/>
        <v>1793751.1740770428</v>
      </c>
      <c r="BF85" s="3">
        <f t="shared" si="46"/>
        <v>1837254.2505133438</v>
      </c>
      <c r="BG85" s="3">
        <f t="shared" si="46"/>
        <v>1882640.7175498905</v>
      </c>
      <c r="BH85" s="3">
        <f t="shared" si="46"/>
        <v>1930016.1508285464</v>
      </c>
      <c r="BI85" s="3">
        <f t="shared" si="46"/>
        <v>1979492.4984003715</v>
      </c>
    </row>
    <row r="89" spans="1:61" x14ac:dyDescent="0.25">
      <c r="A89" t="s">
        <v>208</v>
      </c>
    </row>
    <row r="90" spans="1:61" x14ac:dyDescent="0.25">
      <c r="A90" t="s">
        <v>17</v>
      </c>
      <c r="B90">
        <v>1</v>
      </c>
      <c r="C90">
        <v>2</v>
      </c>
      <c r="D90">
        <v>3</v>
      </c>
      <c r="E90">
        <v>4</v>
      </c>
      <c r="F90">
        <v>5</v>
      </c>
      <c r="G90">
        <v>6</v>
      </c>
      <c r="H90">
        <v>7</v>
      </c>
      <c r="I90">
        <v>8</v>
      </c>
      <c r="J90">
        <v>9</v>
      </c>
      <c r="K90">
        <v>10</v>
      </c>
      <c r="L90">
        <v>11</v>
      </c>
      <c r="M90">
        <v>12</v>
      </c>
      <c r="N90">
        <v>13</v>
      </c>
      <c r="O90">
        <v>14</v>
      </c>
      <c r="P90">
        <v>15</v>
      </c>
      <c r="Q90">
        <v>16</v>
      </c>
      <c r="R90">
        <v>17</v>
      </c>
      <c r="S90">
        <v>18</v>
      </c>
      <c r="T90">
        <v>19</v>
      </c>
      <c r="U90">
        <v>20</v>
      </c>
      <c r="V90">
        <v>21</v>
      </c>
      <c r="W90">
        <v>22</v>
      </c>
      <c r="X90">
        <v>23</v>
      </c>
      <c r="Y90">
        <v>24</v>
      </c>
      <c r="Z90">
        <v>25</v>
      </c>
      <c r="AA90">
        <v>26</v>
      </c>
      <c r="AB90">
        <v>27</v>
      </c>
      <c r="AC90">
        <v>28</v>
      </c>
      <c r="AD90">
        <v>29</v>
      </c>
      <c r="AE90">
        <v>30</v>
      </c>
      <c r="AF90">
        <v>31</v>
      </c>
      <c r="AG90">
        <v>32</v>
      </c>
      <c r="AH90">
        <v>33</v>
      </c>
      <c r="AI90">
        <v>34</v>
      </c>
      <c r="AJ90">
        <v>35</v>
      </c>
      <c r="AK90">
        <v>36</v>
      </c>
      <c r="AL90">
        <v>37</v>
      </c>
      <c r="AM90">
        <v>38</v>
      </c>
      <c r="AN90">
        <v>39</v>
      </c>
      <c r="AO90">
        <v>40</v>
      </c>
      <c r="AP90">
        <v>41</v>
      </c>
      <c r="AQ90">
        <v>42</v>
      </c>
      <c r="AR90">
        <v>43</v>
      </c>
      <c r="AS90">
        <v>44</v>
      </c>
      <c r="AT90">
        <v>45</v>
      </c>
      <c r="AU90">
        <v>46</v>
      </c>
      <c r="AV90">
        <v>47</v>
      </c>
      <c r="AW90">
        <v>48</v>
      </c>
      <c r="AX90">
        <v>49</v>
      </c>
      <c r="AY90">
        <v>50</v>
      </c>
      <c r="AZ90">
        <v>51</v>
      </c>
      <c r="BA90">
        <v>52</v>
      </c>
      <c r="BB90">
        <v>53</v>
      </c>
      <c r="BC90">
        <v>54</v>
      </c>
      <c r="BD90">
        <v>55</v>
      </c>
      <c r="BE90">
        <v>56</v>
      </c>
      <c r="BF90">
        <v>57</v>
      </c>
      <c r="BG90">
        <v>58</v>
      </c>
      <c r="BH90">
        <v>59</v>
      </c>
      <c r="BI90">
        <v>60</v>
      </c>
    </row>
    <row r="91" spans="1:61" x14ac:dyDescent="0.25">
      <c r="A91" t="s">
        <v>209</v>
      </c>
      <c r="B91" s="49">
        <v>2500000</v>
      </c>
      <c r="C91" s="49">
        <v>0</v>
      </c>
      <c r="D91" s="49">
        <v>0</v>
      </c>
      <c r="E91" s="49">
        <v>0</v>
      </c>
      <c r="F91" s="49">
        <v>0</v>
      </c>
      <c r="G91" s="49">
        <v>0</v>
      </c>
      <c r="H91" s="49">
        <v>0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v>0</v>
      </c>
      <c r="P91" s="49">
        <v>0</v>
      </c>
      <c r="Q91" s="49">
        <v>0</v>
      </c>
      <c r="R91" s="49">
        <v>0</v>
      </c>
      <c r="S91" s="49">
        <v>0</v>
      </c>
      <c r="T91" s="49">
        <v>0</v>
      </c>
      <c r="U91" s="49">
        <v>0</v>
      </c>
      <c r="V91" s="49">
        <v>0</v>
      </c>
      <c r="W91" s="49">
        <v>0</v>
      </c>
      <c r="X91" s="49">
        <v>0</v>
      </c>
      <c r="Y91" s="49">
        <v>0</v>
      </c>
      <c r="Z91" s="49">
        <v>0</v>
      </c>
      <c r="AA91" s="49">
        <v>0</v>
      </c>
      <c r="AB91" s="49">
        <v>0</v>
      </c>
      <c r="AC91" s="49">
        <v>0</v>
      </c>
      <c r="AD91" s="49">
        <v>0</v>
      </c>
      <c r="AE91" s="49">
        <v>0</v>
      </c>
      <c r="AF91" s="49">
        <v>0</v>
      </c>
      <c r="AG91" s="49">
        <v>0</v>
      </c>
      <c r="AH91" s="49">
        <v>0</v>
      </c>
      <c r="AI91" s="49">
        <v>0</v>
      </c>
      <c r="AJ91" s="49">
        <v>0</v>
      </c>
      <c r="AK91" s="49">
        <v>0</v>
      </c>
      <c r="AL91" s="49">
        <v>0</v>
      </c>
      <c r="AM91" s="49">
        <v>0</v>
      </c>
      <c r="AN91" s="49">
        <v>0</v>
      </c>
      <c r="AO91" s="49">
        <v>0</v>
      </c>
      <c r="AP91" s="49">
        <v>0</v>
      </c>
      <c r="AQ91" s="49">
        <v>0</v>
      </c>
      <c r="AR91" s="49">
        <v>0</v>
      </c>
      <c r="AS91" s="49">
        <v>0</v>
      </c>
      <c r="AT91" s="49">
        <v>0</v>
      </c>
      <c r="AU91" s="49">
        <v>0</v>
      </c>
      <c r="AV91" s="49">
        <v>0</v>
      </c>
      <c r="AW91" s="49">
        <v>0</v>
      </c>
      <c r="AX91" s="49">
        <v>0</v>
      </c>
      <c r="AY91" s="49">
        <v>0</v>
      </c>
      <c r="AZ91" s="49">
        <v>0</v>
      </c>
      <c r="BA91" s="49">
        <v>0</v>
      </c>
      <c r="BB91" s="49">
        <v>0</v>
      </c>
      <c r="BC91" s="49">
        <v>0</v>
      </c>
      <c r="BD91" s="49">
        <v>0</v>
      </c>
      <c r="BE91" s="49">
        <v>0</v>
      </c>
      <c r="BF91" s="49">
        <v>0</v>
      </c>
      <c r="BG91" s="49">
        <v>0</v>
      </c>
      <c r="BH91" s="49">
        <v>0</v>
      </c>
      <c r="BI91" s="49">
        <v>0</v>
      </c>
    </row>
    <row r="92" spans="1:61" x14ac:dyDescent="0.25">
      <c r="A92" t="s">
        <v>210</v>
      </c>
      <c r="B92" s="49">
        <v>1500000</v>
      </c>
      <c r="C92" s="49">
        <v>0</v>
      </c>
      <c r="D92" s="49">
        <v>0</v>
      </c>
      <c r="E92" s="49">
        <v>0</v>
      </c>
      <c r="F92" s="49">
        <v>0</v>
      </c>
      <c r="G92" s="49">
        <v>0</v>
      </c>
      <c r="H92" s="49">
        <v>0</v>
      </c>
      <c r="I92" s="49">
        <v>0</v>
      </c>
      <c r="J92" s="49">
        <v>0</v>
      </c>
      <c r="K92" s="49">
        <v>0</v>
      </c>
      <c r="L92" s="49">
        <v>0</v>
      </c>
      <c r="M92" s="49">
        <v>0</v>
      </c>
      <c r="N92" s="49">
        <v>0</v>
      </c>
      <c r="O92" s="49">
        <v>0</v>
      </c>
      <c r="P92" s="49">
        <v>0</v>
      </c>
      <c r="Q92" s="49">
        <v>0</v>
      </c>
      <c r="R92" s="49">
        <v>0</v>
      </c>
      <c r="S92" s="49">
        <v>0</v>
      </c>
      <c r="T92" s="49">
        <v>0</v>
      </c>
      <c r="U92" s="49">
        <v>0</v>
      </c>
      <c r="V92" s="49">
        <v>0</v>
      </c>
      <c r="W92" s="49">
        <v>0</v>
      </c>
      <c r="X92" s="49">
        <v>0</v>
      </c>
      <c r="Y92" s="49">
        <v>0</v>
      </c>
      <c r="Z92" s="49">
        <v>0</v>
      </c>
      <c r="AA92" s="49">
        <v>0</v>
      </c>
      <c r="AB92" s="49">
        <v>0</v>
      </c>
      <c r="AC92" s="49">
        <v>0</v>
      </c>
      <c r="AD92" s="49">
        <v>0</v>
      </c>
      <c r="AE92" s="49">
        <v>0</v>
      </c>
      <c r="AF92" s="49">
        <v>0</v>
      </c>
      <c r="AG92" s="49">
        <v>0</v>
      </c>
      <c r="AH92" s="49">
        <v>0</v>
      </c>
      <c r="AI92" s="49">
        <v>0</v>
      </c>
      <c r="AJ92" s="49">
        <v>0</v>
      </c>
      <c r="AK92" s="49">
        <v>0</v>
      </c>
      <c r="AL92" s="49">
        <v>0</v>
      </c>
      <c r="AM92" s="49">
        <v>0</v>
      </c>
      <c r="AN92" s="49">
        <v>0</v>
      </c>
      <c r="AO92" s="49">
        <v>0</v>
      </c>
      <c r="AP92" s="49">
        <v>0</v>
      </c>
      <c r="AQ92" s="49">
        <v>0</v>
      </c>
      <c r="AR92" s="49">
        <v>0</v>
      </c>
      <c r="AS92" s="49">
        <v>0</v>
      </c>
      <c r="AT92" s="49">
        <v>0</v>
      </c>
      <c r="AU92" s="49">
        <v>0</v>
      </c>
      <c r="AV92" s="49">
        <v>0</v>
      </c>
      <c r="AW92" s="49">
        <v>0</v>
      </c>
      <c r="AX92" s="49">
        <v>0</v>
      </c>
      <c r="AY92" s="49">
        <v>0</v>
      </c>
      <c r="AZ92" s="49">
        <v>0</v>
      </c>
      <c r="BA92" s="49">
        <v>0</v>
      </c>
      <c r="BB92" s="49">
        <v>0</v>
      </c>
      <c r="BC92" s="49">
        <v>0</v>
      </c>
      <c r="BD92" s="49">
        <v>0</v>
      </c>
      <c r="BE92" s="49">
        <v>0</v>
      </c>
      <c r="BF92" s="49">
        <v>0</v>
      </c>
      <c r="BG92" s="49">
        <v>0</v>
      </c>
      <c r="BH92" s="49">
        <v>0</v>
      </c>
      <c r="BI92" s="49">
        <v>0</v>
      </c>
    </row>
    <row r="93" spans="1:61" x14ac:dyDescent="0.25">
      <c r="A93" t="s">
        <v>211</v>
      </c>
      <c r="B93" s="49">
        <v>500000</v>
      </c>
      <c r="C93" s="49">
        <v>0</v>
      </c>
      <c r="D93" s="49">
        <v>0</v>
      </c>
      <c r="E93" s="49">
        <v>0</v>
      </c>
      <c r="F93" s="49">
        <v>0</v>
      </c>
      <c r="G93" s="49">
        <v>0</v>
      </c>
      <c r="H93" s="49">
        <v>0</v>
      </c>
      <c r="I93" s="49">
        <v>0</v>
      </c>
      <c r="J93" s="49">
        <v>0</v>
      </c>
      <c r="K93" s="49">
        <v>0</v>
      </c>
      <c r="L93" s="49">
        <v>0</v>
      </c>
      <c r="M93" s="49">
        <v>0</v>
      </c>
      <c r="N93" s="49">
        <v>0</v>
      </c>
      <c r="O93" s="49">
        <v>0</v>
      </c>
      <c r="P93" s="49">
        <v>0</v>
      </c>
      <c r="Q93" s="49">
        <v>0</v>
      </c>
      <c r="R93" s="49">
        <v>0</v>
      </c>
      <c r="S93" s="49">
        <v>0</v>
      </c>
      <c r="T93" s="49">
        <v>0</v>
      </c>
      <c r="U93" s="49">
        <v>0</v>
      </c>
      <c r="V93" s="49">
        <v>0</v>
      </c>
      <c r="W93" s="49">
        <v>0</v>
      </c>
      <c r="X93" s="49">
        <v>0</v>
      </c>
      <c r="Y93" s="49">
        <v>0</v>
      </c>
      <c r="Z93" s="49">
        <v>0</v>
      </c>
      <c r="AA93" s="49">
        <v>0</v>
      </c>
      <c r="AB93" s="49">
        <v>0</v>
      </c>
      <c r="AC93" s="49">
        <v>0</v>
      </c>
      <c r="AD93" s="49">
        <v>0</v>
      </c>
      <c r="AE93" s="49">
        <v>0</v>
      </c>
      <c r="AF93" s="49">
        <v>0</v>
      </c>
      <c r="AG93" s="49">
        <v>0</v>
      </c>
      <c r="AH93" s="49">
        <v>0</v>
      </c>
      <c r="AI93" s="49">
        <v>0</v>
      </c>
      <c r="AJ93" s="49">
        <v>0</v>
      </c>
      <c r="AK93" s="49">
        <v>0</v>
      </c>
      <c r="AL93" s="49">
        <v>0</v>
      </c>
      <c r="AM93" s="49">
        <v>0</v>
      </c>
      <c r="AN93" s="49">
        <v>0</v>
      </c>
      <c r="AO93" s="49">
        <v>0</v>
      </c>
      <c r="AP93" s="49">
        <v>0</v>
      </c>
      <c r="AQ93" s="49">
        <v>0</v>
      </c>
      <c r="AR93" s="49">
        <v>0</v>
      </c>
      <c r="AS93" s="49">
        <v>0</v>
      </c>
      <c r="AT93" s="49">
        <v>0</v>
      </c>
      <c r="AU93" s="49">
        <v>0</v>
      </c>
      <c r="AV93" s="49">
        <v>0</v>
      </c>
      <c r="AW93" s="49">
        <v>0</v>
      </c>
      <c r="AX93" s="49">
        <v>0</v>
      </c>
      <c r="AY93" s="49">
        <v>0</v>
      </c>
      <c r="AZ93" s="49">
        <v>0</v>
      </c>
      <c r="BA93" s="49">
        <v>0</v>
      </c>
      <c r="BB93" s="49">
        <v>0</v>
      </c>
      <c r="BC93" s="49">
        <v>0</v>
      </c>
      <c r="BD93" s="49">
        <v>0</v>
      </c>
      <c r="BE93" s="49">
        <v>0</v>
      </c>
      <c r="BF93" s="49">
        <v>0</v>
      </c>
      <c r="BG93" s="49">
        <v>0</v>
      </c>
      <c r="BH93" s="49">
        <v>0</v>
      </c>
      <c r="BI93" s="49">
        <v>0</v>
      </c>
    </row>
    <row r="94" spans="1:61" x14ac:dyDescent="0.25">
      <c r="A94" t="s">
        <v>212</v>
      </c>
      <c r="B94" s="48">
        <f>SUM(B91:B93)</f>
        <v>4500000</v>
      </c>
      <c r="C94" s="48">
        <f t="shared" ref="C94:BI94" si="47">SUM(C91:C93)</f>
        <v>0</v>
      </c>
      <c r="D94" s="48">
        <f t="shared" si="47"/>
        <v>0</v>
      </c>
      <c r="E94" s="48">
        <f t="shared" si="47"/>
        <v>0</v>
      </c>
      <c r="F94" s="48">
        <f t="shared" si="47"/>
        <v>0</v>
      </c>
      <c r="G94" s="48">
        <f t="shared" si="47"/>
        <v>0</v>
      </c>
      <c r="H94" s="48">
        <f t="shared" si="47"/>
        <v>0</v>
      </c>
      <c r="I94" s="48">
        <f t="shared" si="47"/>
        <v>0</v>
      </c>
      <c r="J94" s="48">
        <f t="shared" si="47"/>
        <v>0</v>
      </c>
      <c r="K94" s="48">
        <f t="shared" si="47"/>
        <v>0</v>
      </c>
      <c r="L94" s="48">
        <f t="shared" si="47"/>
        <v>0</v>
      </c>
      <c r="M94" s="48">
        <f t="shared" si="47"/>
        <v>0</v>
      </c>
      <c r="N94" s="48">
        <f t="shared" si="47"/>
        <v>0</v>
      </c>
      <c r="O94" s="48">
        <f t="shared" si="47"/>
        <v>0</v>
      </c>
      <c r="P94" s="48">
        <f t="shared" si="47"/>
        <v>0</v>
      </c>
      <c r="Q94" s="48">
        <f t="shared" si="47"/>
        <v>0</v>
      </c>
      <c r="R94" s="48">
        <f t="shared" si="47"/>
        <v>0</v>
      </c>
      <c r="S94" s="48">
        <f t="shared" si="47"/>
        <v>0</v>
      </c>
      <c r="T94" s="48">
        <f t="shared" si="47"/>
        <v>0</v>
      </c>
      <c r="U94" s="48">
        <f t="shared" si="47"/>
        <v>0</v>
      </c>
      <c r="V94" s="48">
        <f t="shared" si="47"/>
        <v>0</v>
      </c>
      <c r="W94" s="48">
        <f t="shared" si="47"/>
        <v>0</v>
      </c>
      <c r="X94" s="48">
        <f t="shared" si="47"/>
        <v>0</v>
      </c>
      <c r="Y94" s="48">
        <f t="shared" si="47"/>
        <v>0</v>
      </c>
      <c r="Z94" s="48">
        <f t="shared" si="47"/>
        <v>0</v>
      </c>
      <c r="AA94" s="48">
        <f t="shared" si="47"/>
        <v>0</v>
      </c>
      <c r="AB94" s="48">
        <f t="shared" si="47"/>
        <v>0</v>
      </c>
      <c r="AC94" s="48">
        <f t="shared" si="47"/>
        <v>0</v>
      </c>
      <c r="AD94" s="48">
        <f t="shared" si="47"/>
        <v>0</v>
      </c>
      <c r="AE94" s="48">
        <f t="shared" si="47"/>
        <v>0</v>
      </c>
      <c r="AF94" s="48">
        <f t="shared" si="47"/>
        <v>0</v>
      </c>
      <c r="AG94" s="48">
        <f t="shared" si="47"/>
        <v>0</v>
      </c>
      <c r="AH94" s="48">
        <f t="shared" si="47"/>
        <v>0</v>
      </c>
      <c r="AI94" s="48">
        <f t="shared" si="47"/>
        <v>0</v>
      </c>
      <c r="AJ94" s="48">
        <f t="shared" si="47"/>
        <v>0</v>
      </c>
      <c r="AK94" s="48">
        <f t="shared" si="47"/>
        <v>0</v>
      </c>
      <c r="AL94" s="48">
        <f t="shared" si="47"/>
        <v>0</v>
      </c>
      <c r="AM94" s="48">
        <f t="shared" si="47"/>
        <v>0</v>
      </c>
      <c r="AN94" s="48">
        <f t="shared" si="47"/>
        <v>0</v>
      </c>
      <c r="AO94" s="48">
        <f t="shared" si="47"/>
        <v>0</v>
      </c>
      <c r="AP94" s="48">
        <f t="shared" si="47"/>
        <v>0</v>
      </c>
      <c r="AQ94" s="48">
        <f t="shared" si="47"/>
        <v>0</v>
      </c>
      <c r="AR94" s="48">
        <f t="shared" si="47"/>
        <v>0</v>
      </c>
      <c r="AS94" s="48">
        <f t="shared" si="47"/>
        <v>0</v>
      </c>
      <c r="AT94" s="48">
        <f t="shared" si="47"/>
        <v>0</v>
      </c>
      <c r="AU94" s="48">
        <f t="shared" si="47"/>
        <v>0</v>
      </c>
      <c r="AV94" s="48">
        <f t="shared" si="47"/>
        <v>0</v>
      </c>
      <c r="AW94" s="48">
        <f t="shared" si="47"/>
        <v>0</v>
      </c>
      <c r="AX94" s="48">
        <f t="shared" si="47"/>
        <v>0</v>
      </c>
      <c r="AY94" s="48">
        <f t="shared" si="47"/>
        <v>0</v>
      </c>
      <c r="AZ94" s="48">
        <f t="shared" si="47"/>
        <v>0</v>
      </c>
      <c r="BA94" s="48">
        <f t="shared" si="47"/>
        <v>0</v>
      </c>
      <c r="BB94" s="48">
        <f t="shared" si="47"/>
        <v>0</v>
      </c>
      <c r="BC94" s="48">
        <f t="shared" si="47"/>
        <v>0</v>
      </c>
      <c r="BD94" s="48">
        <f t="shared" si="47"/>
        <v>0</v>
      </c>
      <c r="BE94" s="48">
        <f t="shared" si="47"/>
        <v>0</v>
      </c>
      <c r="BF94" s="48">
        <f t="shared" si="47"/>
        <v>0</v>
      </c>
      <c r="BG94" s="48">
        <f t="shared" si="47"/>
        <v>0</v>
      </c>
      <c r="BH94" s="48">
        <f t="shared" si="47"/>
        <v>0</v>
      </c>
      <c r="BI94" s="48">
        <f t="shared" si="47"/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opLeftCell="A21" workbookViewId="0">
      <selection activeCell="F36" sqref="F36"/>
    </sheetView>
  </sheetViews>
  <sheetFormatPr defaultColWidth="8.85546875" defaultRowHeight="15" x14ac:dyDescent="0.25"/>
  <cols>
    <col min="1" max="1" width="34.140625" bestFit="1" customWidth="1"/>
    <col min="2" max="13" width="11.7109375" bestFit="1" customWidth="1"/>
  </cols>
  <sheetData>
    <row r="1" spans="1:13" x14ac:dyDescent="0.25">
      <c r="A1" t="str">
        <f>DATA!B1</f>
        <v>Example Manufacturing Company</v>
      </c>
    </row>
    <row r="2" spans="1:13" x14ac:dyDescent="0.25">
      <c r="A2" t="s">
        <v>96</v>
      </c>
    </row>
    <row r="3" spans="1:13" x14ac:dyDescent="0.25">
      <c r="A3" t="s">
        <v>80</v>
      </c>
    </row>
    <row r="5" spans="1:13" x14ac:dyDescent="0.25">
      <c r="A5" t="s">
        <v>97</v>
      </c>
      <c r="B5">
        <v>13</v>
      </c>
      <c r="C5">
        <v>14</v>
      </c>
      <c r="D5">
        <v>15</v>
      </c>
      <c r="E5">
        <v>16</v>
      </c>
      <c r="F5">
        <v>17</v>
      </c>
      <c r="G5">
        <v>18</v>
      </c>
      <c r="H5">
        <v>19</v>
      </c>
      <c r="I5">
        <v>20</v>
      </c>
      <c r="J5">
        <v>21</v>
      </c>
      <c r="K5">
        <v>22</v>
      </c>
      <c r="L5">
        <v>23</v>
      </c>
      <c r="M5">
        <v>24</v>
      </c>
    </row>
    <row r="7" spans="1:13" x14ac:dyDescent="0.25">
      <c r="A7" t="s">
        <v>98</v>
      </c>
    </row>
    <row r="8" spans="1:13" x14ac:dyDescent="0.25">
      <c r="A8" t="s">
        <v>99</v>
      </c>
    </row>
    <row r="9" spans="1:13" x14ac:dyDescent="0.25">
      <c r="A9" t="s">
        <v>100</v>
      </c>
      <c r="B9" s="12">
        <f>CashFlowStatement_Year2!B7+CashFlowStatement_Year2!B37</f>
        <v>5208732.0161648123</v>
      </c>
      <c r="C9" s="12">
        <f>CashFlowStatement_Year2!C7+CashFlowStatement_Year2!C37</f>
        <v>5727192.1969035706</v>
      </c>
      <c r="D9" s="12">
        <f>CashFlowStatement_Year2!D7+CashFlowStatement_Year2!D37</f>
        <v>5274984.5615041424</v>
      </c>
      <c r="E9" s="12">
        <f>CashFlowStatement_Year2!E7+CashFlowStatement_Year2!E37</f>
        <v>5812316.3902155822</v>
      </c>
      <c r="F9" s="12">
        <f>CashFlowStatement_Year2!F7+CashFlowStatement_Year2!F37</f>
        <v>5379403.1118558142</v>
      </c>
      <c r="G9" s="12">
        <f>CashFlowStatement_Year2!G7+CashFlowStatement_Year2!G37</f>
        <v>5936468.7421933319</v>
      </c>
      <c r="H9" s="12">
        <f>CashFlowStatement_Year2!H7+CashFlowStatement_Year2!H37</f>
        <v>6503746.3484274885</v>
      </c>
      <c r="I9" s="12">
        <f>CashFlowStatement_Year2!I7+CashFlowStatement_Year2!I37</f>
        <v>6095246.2723059272</v>
      </c>
      <c r="J9" s="12">
        <f>CashFlowStatement_Year2!J7+CashFlowStatement_Year2!J37</f>
        <v>6683673.2571798991</v>
      </c>
      <c r="K9" s="12">
        <f>CashFlowStatement_Year2!K7+CashFlowStatement_Year2!K37</f>
        <v>6303070.7737716623</v>
      </c>
      <c r="L9" s="12">
        <f>CashFlowStatement_Year2!L7+CashFlowStatement_Year2!L37</f>
        <v>6913713.3198714694</v>
      </c>
      <c r="M9" s="12">
        <f>CashFlowStatement_Year2!M7+CashFlowStatement_Year2!M37</f>
        <v>7516255.024240193</v>
      </c>
    </row>
    <row r="10" spans="1:13" x14ac:dyDescent="0.25">
      <c r="A10" t="s">
        <v>101</v>
      </c>
      <c r="B10" s="12">
        <f>IncomeStatement_Year2!B8-CashFlowStatement_Year2!B10+BalanceSheet_Year1!N10</f>
        <v>0</v>
      </c>
      <c r="C10" s="12">
        <f>IncomeStatement_Year2!C8-CashFlowStatement_Year2!C10+B10</f>
        <v>0</v>
      </c>
      <c r="D10" s="12">
        <f>IncomeStatement_Year2!D8-CashFlowStatement_Year2!D10+C10</f>
        <v>0</v>
      </c>
      <c r="E10" s="12">
        <f>IncomeStatement_Year2!E8-CashFlowStatement_Year2!E10+D10</f>
        <v>0</v>
      </c>
      <c r="F10" s="12">
        <f>IncomeStatement_Year2!F8-CashFlowStatement_Year2!F10+E10</f>
        <v>0</v>
      </c>
      <c r="G10" s="12">
        <f>IncomeStatement_Year2!G8-CashFlowStatement_Year2!G10+F10</f>
        <v>0</v>
      </c>
      <c r="H10" s="12">
        <f>IncomeStatement_Year2!H8-CashFlowStatement_Year2!H10+G10</f>
        <v>0</v>
      </c>
      <c r="I10" s="12">
        <f>IncomeStatement_Year2!I8-CashFlowStatement_Year2!I10+H10</f>
        <v>0</v>
      </c>
      <c r="J10" s="12">
        <f>IncomeStatement_Year2!J8-CashFlowStatement_Year2!J10+I10</f>
        <v>0</v>
      </c>
      <c r="K10" s="12">
        <f>IncomeStatement_Year2!K8-CashFlowStatement_Year2!K10+J10</f>
        <v>0</v>
      </c>
      <c r="L10" s="12">
        <f>IncomeStatement_Year2!L8-CashFlowStatement_Year2!L10+K10</f>
        <v>0</v>
      </c>
      <c r="M10" s="12">
        <f>IncomeStatement_Year2!M8-CashFlowStatement_Year2!M10+L10</f>
        <v>0</v>
      </c>
    </row>
    <row r="11" spans="1:13" x14ac:dyDescent="0.25">
      <c r="A11" t="s">
        <v>102</v>
      </c>
      <c r="B11" s="12">
        <f>'Inventory Module'!N26</f>
        <v>519922.51445427985</v>
      </c>
      <c r="C11" s="12">
        <f>'Inventory Module'!O26</f>
        <v>152421.63622646412</v>
      </c>
      <c r="D11" s="12">
        <f>'Inventory Module'!P26</f>
        <v>759999.47240429348</v>
      </c>
      <c r="E11" s="12">
        <f>'Inventory Module'!Q26</f>
        <v>382550.90066594107</v>
      </c>
      <c r="F11" s="12">
        <f>'Inventory Module'!R26</f>
        <v>979966.71878047718</v>
      </c>
      <c r="G11" s="12">
        <f>'Inventory Module'!S26</f>
        <v>592133.42750265682</v>
      </c>
      <c r="H11" s="12">
        <f>'Inventory Module'!T26</f>
        <v>198933.00076424237</v>
      </c>
      <c r="I11" s="12">
        <f>'Inventory Module'!U26</f>
        <v>786474.91146175226</v>
      </c>
      <c r="J11" s="12">
        <f>'Inventory Module'!V26</f>
        <v>382179.26843147399</v>
      </c>
      <c r="K11" s="12">
        <f>'Inventory Module'!W26</f>
        <v>952132.77078569052</v>
      </c>
      <c r="L11" s="12">
        <f>'Inventory Module'!X26</f>
        <v>536196.7054009292</v>
      </c>
      <c r="M11" s="12">
        <f>'Inventory Module'!Y26</f>
        <v>133858.65835450028</v>
      </c>
    </row>
    <row r="12" spans="1:13" x14ac:dyDescent="0.25">
      <c r="A12" s="4" t="s">
        <v>103</v>
      </c>
      <c r="B12" s="14">
        <f t="shared" ref="B12:M12" si="0">SUM(B9:B11)</f>
        <v>5728654.5306190923</v>
      </c>
      <c r="C12" s="14">
        <f t="shared" si="0"/>
        <v>5879613.8331300346</v>
      </c>
      <c r="D12" s="14">
        <f t="shared" si="0"/>
        <v>6034984.0339084361</v>
      </c>
      <c r="E12" s="14">
        <f t="shared" si="0"/>
        <v>6194867.2908815229</v>
      </c>
      <c r="F12" s="14">
        <f t="shared" si="0"/>
        <v>6359369.8306362918</v>
      </c>
      <c r="G12" s="14">
        <f t="shared" si="0"/>
        <v>6528602.1696959883</v>
      </c>
      <c r="H12" s="14">
        <f t="shared" si="0"/>
        <v>6702679.3491917308</v>
      </c>
      <c r="I12" s="14">
        <f t="shared" si="0"/>
        <v>6881721.1837676791</v>
      </c>
      <c r="J12" s="14">
        <f t="shared" si="0"/>
        <v>7065852.5256113727</v>
      </c>
      <c r="K12" s="14">
        <f t="shared" si="0"/>
        <v>7255203.5445573526</v>
      </c>
      <c r="L12" s="14">
        <f t="shared" si="0"/>
        <v>7449910.0252723983</v>
      </c>
      <c r="M12" s="14">
        <f t="shared" si="0"/>
        <v>7650113.6825946933</v>
      </c>
    </row>
    <row r="14" spans="1:13" x14ac:dyDescent="0.25">
      <c r="A14" t="s">
        <v>104</v>
      </c>
    </row>
    <row r="15" spans="1:13" x14ac:dyDescent="0.25">
      <c r="A15" t="s">
        <v>10</v>
      </c>
      <c r="B15" s="12">
        <f>IF(B5=DATA!E19,DATA!B19,0)+BalanceSheet_Year1!N15</f>
        <v>200000</v>
      </c>
      <c r="C15" s="12">
        <f>IF(C5=DATA!E19,DATA!B19,0)+B15</f>
        <v>200000</v>
      </c>
      <c r="D15" s="12">
        <f>IF(D5=DATA!E19,DATA!B19,0)+C15</f>
        <v>200000</v>
      </c>
      <c r="E15" s="12">
        <f>IF(E5=DATA!E19,DATA!B19,0)+D15</f>
        <v>200000</v>
      </c>
      <c r="F15" s="12">
        <f>IF(F5=DATA!E19,DATA!B19,0)+E15</f>
        <v>200000</v>
      </c>
      <c r="G15" s="12">
        <f>IF(G5=DATA!E19,DATA!B19,0)+F15</f>
        <v>200000</v>
      </c>
      <c r="H15" s="12">
        <f>IF(H5=DATA!E19,DATA!B19,0)+G15</f>
        <v>200000</v>
      </c>
      <c r="I15" s="12">
        <f>IF(I5=DATA!E19,DATA!B19,0)+H15</f>
        <v>200000</v>
      </c>
      <c r="J15" s="12">
        <f>IF(J5=DATA!E19,DATA!B19,0)+I15</f>
        <v>200000</v>
      </c>
      <c r="K15" s="12">
        <f>IF(K5=DATA!E19,DATA!B19,0)+J15</f>
        <v>200000</v>
      </c>
      <c r="L15" s="12">
        <f>IF(L5=DATA!E19,DATA!B19,0)+K15</f>
        <v>200000</v>
      </c>
      <c r="M15" s="12">
        <f>IF(M5=DATA!E19,DATA!B19,0)+L15</f>
        <v>200000</v>
      </c>
    </row>
    <row r="16" spans="1:13" x14ac:dyDescent="0.25">
      <c r="A16" t="s">
        <v>15</v>
      </c>
      <c r="B16" s="12">
        <f>IF(B5=DATA!E22,DATA!B22,0)+BalanceSheet_Year1!N16</f>
        <v>10000</v>
      </c>
      <c r="C16" s="12">
        <f>IF(C5=DATA!E22,DATA!B22,0)+B16</f>
        <v>10000</v>
      </c>
      <c r="D16" s="12">
        <f>IF(D5=DATA!E22,DATA!B22,0)+C16</f>
        <v>10000</v>
      </c>
      <c r="E16" s="12">
        <f>IF(E5=DATA!E22,DATA!B22,0)+D16</f>
        <v>10000</v>
      </c>
      <c r="F16" s="12">
        <f>IF(F5=DATA!E22,DATA!B22,0)+E16</f>
        <v>10000</v>
      </c>
      <c r="G16" s="12">
        <f>IF(G5=DATA!E22,DATA!B22,0)+F16</f>
        <v>10000</v>
      </c>
      <c r="H16" s="12">
        <f>IF(H5=DATA!E22,DATA!B22,0)+G16</f>
        <v>10000</v>
      </c>
      <c r="I16" s="12">
        <f>IF(I5=DATA!E22,DATA!B22,0)+H16</f>
        <v>10000</v>
      </c>
      <c r="J16" s="12">
        <f>IF(J5=DATA!E22,DATA!B22,0)+I16</f>
        <v>10000</v>
      </c>
      <c r="K16" s="12">
        <f>IF(K5=DATA!E22,DATA!B22,0)+J16</f>
        <v>10000</v>
      </c>
      <c r="L16" s="12">
        <f>IF(L5=DATA!E22,DATA!B22,0)+K16</f>
        <v>10000</v>
      </c>
      <c r="M16" s="12">
        <f>IF(M5=DATA!E22,DATA!B22,0)+L16</f>
        <v>10000</v>
      </c>
    </row>
    <row r="17" spans="1:13" x14ac:dyDescent="0.25">
      <c r="A17" t="s">
        <v>105</v>
      </c>
      <c r="B17" s="12">
        <f>-(IncomeStatement_Year2!B31-BalanceSheet_Year1!N17)</f>
        <v>-25922.619047619042</v>
      </c>
      <c r="C17" s="12">
        <f>-(IncomeStatement_Year2!C31-B17)</f>
        <v>-27916.666666666661</v>
      </c>
      <c r="D17" s="12">
        <f>-(IncomeStatement_Year2!D31-C17)</f>
        <v>-29910.714285714279</v>
      </c>
      <c r="E17" s="12">
        <f>-(IncomeStatement_Year2!E31-D17)</f>
        <v>-31904.761904761897</v>
      </c>
      <c r="F17" s="12">
        <f>-(IncomeStatement_Year2!F31-E17)</f>
        <v>-33898.809523809519</v>
      </c>
      <c r="G17" s="12">
        <f>-(IncomeStatement_Year2!G31-F17)</f>
        <v>-35892.857142857138</v>
      </c>
      <c r="H17" s="12">
        <f>-(IncomeStatement_Year2!H31-G17)</f>
        <v>-37886.904761904756</v>
      </c>
      <c r="I17" s="12">
        <f>-(IncomeStatement_Year2!I31-H17)</f>
        <v>-39880.952380952374</v>
      </c>
      <c r="J17" s="12">
        <f>-(IncomeStatement_Year2!J31-I17)</f>
        <v>-41874.999999999993</v>
      </c>
      <c r="K17" s="12">
        <f>-(IncomeStatement_Year2!K31-J17)</f>
        <v>-43869.047619047611</v>
      </c>
      <c r="L17" s="12">
        <f>-(IncomeStatement_Year2!L31-K17)</f>
        <v>-45863.095238095229</v>
      </c>
      <c r="M17" s="12">
        <f>-(IncomeStatement_Year2!M31-L17)</f>
        <v>-47857.142857142848</v>
      </c>
    </row>
    <row r="18" spans="1:13" x14ac:dyDescent="0.25">
      <c r="A18" s="4" t="s">
        <v>106</v>
      </c>
      <c r="B18" s="14">
        <f t="shared" ref="B18:M18" si="1">SUM(B15:B17)</f>
        <v>184077.38095238095</v>
      </c>
      <c r="C18" s="14">
        <f t="shared" si="1"/>
        <v>182083.33333333334</v>
      </c>
      <c r="D18" s="14">
        <f t="shared" si="1"/>
        <v>180089.28571428571</v>
      </c>
      <c r="E18" s="14">
        <f t="shared" si="1"/>
        <v>178095.23809523811</v>
      </c>
      <c r="F18" s="14">
        <f t="shared" si="1"/>
        <v>176101.19047619047</v>
      </c>
      <c r="G18" s="14">
        <f t="shared" si="1"/>
        <v>174107.14285714287</v>
      </c>
      <c r="H18" s="14">
        <f t="shared" si="1"/>
        <v>172113.09523809524</v>
      </c>
      <c r="I18" s="14">
        <f t="shared" si="1"/>
        <v>170119.04761904763</v>
      </c>
      <c r="J18" s="14">
        <f t="shared" si="1"/>
        <v>168125</v>
      </c>
      <c r="K18" s="14">
        <f t="shared" si="1"/>
        <v>166130.9523809524</v>
      </c>
      <c r="L18" s="14">
        <f t="shared" si="1"/>
        <v>164136.90476190476</v>
      </c>
      <c r="M18" s="14">
        <f t="shared" si="1"/>
        <v>162142.85714285716</v>
      </c>
    </row>
    <row r="20" spans="1:13" x14ac:dyDescent="0.25">
      <c r="A20" s="4" t="s">
        <v>107</v>
      </c>
      <c r="B20" s="9">
        <f t="shared" ref="B20:M20" si="2">B12+B18</f>
        <v>5912731.9115714729</v>
      </c>
      <c r="C20" s="9">
        <f t="shared" si="2"/>
        <v>6061697.1664633676</v>
      </c>
      <c r="D20" s="9">
        <f t="shared" si="2"/>
        <v>6215073.3196227215</v>
      </c>
      <c r="E20" s="9">
        <f t="shared" si="2"/>
        <v>6372962.5289767608</v>
      </c>
      <c r="F20" s="9">
        <f t="shared" si="2"/>
        <v>6535471.0211124821</v>
      </c>
      <c r="G20" s="9">
        <f t="shared" si="2"/>
        <v>6702709.312553131</v>
      </c>
      <c r="H20" s="9">
        <f t="shared" si="2"/>
        <v>6874792.444429826</v>
      </c>
      <c r="I20" s="9">
        <f t="shared" si="2"/>
        <v>7051840.2313867267</v>
      </c>
      <c r="J20" s="9">
        <f t="shared" si="2"/>
        <v>7233977.5256113727</v>
      </c>
      <c r="K20" s="9">
        <f t="shared" si="2"/>
        <v>7421334.496938305</v>
      </c>
      <c r="L20" s="9">
        <f t="shared" si="2"/>
        <v>7614046.9300343031</v>
      </c>
      <c r="M20" s="9">
        <f t="shared" si="2"/>
        <v>7812256.5397375505</v>
      </c>
    </row>
    <row r="22" spans="1:13" x14ac:dyDescent="0.25">
      <c r="A22" s="4" t="s">
        <v>108</v>
      </c>
    </row>
    <row r="23" spans="1:13" x14ac:dyDescent="0.25">
      <c r="A23" t="s">
        <v>109</v>
      </c>
    </row>
    <row r="24" spans="1:13" x14ac:dyDescent="0.25">
      <c r="A24" t="s">
        <v>110</v>
      </c>
      <c r="B24" s="12">
        <f>(IncomeStatement_Year2!B12+SUM(IncomeStatement_Year2!B18:B28)+IncomeStatement_Year2!B30)/2</f>
        <v>338821.86887841939</v>
      </c>
      <c r="C24" s="12">
        <f>(IncomeStatement_Year2!C12+SUM(IncomeStatement_Year2!C18:C28)+IncomeStatement_Year2!C30)/2</f>
        <v>342450.10151660431</v>
      </c>
      <c r="D24" s="12">
        <f>(IncomeStatement_Year2!D12+SUM(IncomeStatement_Year2!D18:D28)+IncomeStatement_Year2!D30)/2</f>
        <v>346154.48810780607</v>
      </c>
      <c r="E24" s="12">
        <f>(IncomeStatement_Year2!E12+SUM(IncomeStatement_Year2!E18:E28)+IncomeStatement_Year2!E30)/2</f>
        <v>349937.95000367239</v>
      </c>
      <c r="F24" s="12">
        <f>(IncomeStatement_Year2!F12+SUM(IncomeStatement_Year2!F18:F28)+IncomeStatement_Year2!F30)/2</f>
        <v>353803.56227882917</v>
      </c>
      <c r="G24" s="12">
        <f>(IncomeStatement_Year2!G12+SUM(IncomeStatement_Year2!G18:G28)+IncomeStatement_Year2!G30)/2</f>
        <v>357754.5626652817</v>
      </c>
      <c r="H24" s="12">
        <f>(IncomeStatement_Year2!H12+SUM(IncomeStatement_Year2!H18:H28)+IncomeStatement_Year2!H30)/2</f>
        <v>361794.36102159717</v>
      </c>
      <c r="I24" s="12">
        <f>(IncomeStatement_Year2!I12+SUM(IncomeStatement_Year2!I18:I28)+IncomeStatement_Year2!I30)/2</f>
        <v>365926.54936922196</v>
      </c>
      <c r="J24" s="12">
        <f>(IncomeStatement_Year2!J12+SUM(IncomeStatement_Year2!J18:J28)+IncomeStatement_Year2!J30)/2</f>
        <v>370154.91253025923</v>
      </c>
      <c r="K24" s="12">
        <f>(IncomeStatement_Year2!K12+SUM(IncomeStatement_Year2!K18:K28)+IncomeStatement_Year2!K30)/2</f>
        <v>374483.43940311752</v>
      </c>
      <c r="L24" s="12">
        <f>(IncomeStatement_Year2!L12+SUM(IncomeStatement_Year2!L18:L28)+IncomeStatement_Year2!L30)/2</f>
        <v>378916.33491466101</v>
      </c>
      <c r="M24" s="12">
        <f>(IncomeStatement_Year2!M12+SUM(IncomeStatement_Year2!M18:M28)+IncomeStatement_Year2!M30)/2</f>
        <v>383458.03268984047</v>
      </c>
    </row>
    <row r="25" spans="1:13" x14ac:dyDescent="0.25">
      <c r="A25" s="4" t="s">
        <v>111</v>
      </c>
      <c r="B25" s="14">
        <f t="shared" ref="B25:M25" si="3">B24</f>
        <v>338821.86887841939</v>
      </c>
      <c r="C25" s="14">
        <f t="shared" si="3"/>
        <v>342450.10151660431</v>
      </c>
      <c r="D25" s="14">
        <f t="shared" si="3"/>
        <v>346154.48810780607</v>
      </c>
      <c r="E25" s="14">
        <f t="shared" si="3"/>
        <v>349937.95000367239</v>
      </c>
      <c r="F25" s="14">
        <f t="shared" si="3"/>
        <v>353803.56227882917</v>
      </c>
      <c r="G25" s="14">
        <f t="shared" si="3"/>
        <v>357754.5626652817</v>
      </c>
      <c r="H25" s="14">
        <f t="shared" si="3"/>
        <v>361794.36102159717</v>
      </c>
      <c r="I25" s="14">
        <f t="shared" si="3"/>
        <v>365926.54936922196</v>
      </c>
      <c r="J25" s="14">
        <f t="shared" si="3"/>
        <v>370154.91253025923</v>
      </c>
      <c r="K25" s="14">
        <f t="shared" si="3"/>
        <v>374483.43940311752</v>
      </c>
      <c r="L25" s="14">
        <f t="shared" si="3"/>
        <v>378916.33491466101</v>
      </c>
      <c r="M25" s="14">
        <f t="shared" si="3"/>
        <v>383458.03268984047</v>
      </c>
    </row>
    <row r="27" spans="1:13" x14ac:dyDescent="0.25">
      <c r="A27" t="s">
        <v>112</v>
      </c>
    </row>
    <row r="28" spans="1:13" x14ac:dyDescent="0.25">
      <c r="A28" t="str">
        <f>LoanModule!C1</f>
        <v>Bank Loan</v>
      </c>
      <c r="B28" s="12">
        <f>LoanModule!F22</f>
        <v>0</v>
      </c>
      <c r="C28" s="12">
        <f>LoanModule!F23</f>
        <v>0</v>
      </c>
      <c r="D28" s="12">
        <f>LoanModule!F24</f>
        <v>0</v>
      </c>
      <c r="E28" s="12">
        <f>LoanModule!F25</f>
        <v>0</v>
      </c>
      <c r="F28" s="12">
        <f>LoanModule!F26</f>
        <v>0</v>
      </c>
      <c r="G28" s="12">
        <f>LoanModule!F27</f>
        <v>0</v>
      </c>
      <c r="H28" s="12">
        <f>LoanModule!F28</f>
        <v>0</v>
      </c>
      <c r="I28" s="12">
        <f>LoanModule!F29</f>
        <v>0</v>
      </c>
      <c r="J28" s="12">
        <f>LoanModule!F30</f>
        <v>0</v>
      </c>
      <c r="K28" s="12">
        <f>LoanModule!F31</f>
        <v>0</v>
      </c>
      <c r="L28" s="12">
        <f>LoanModule!F32</f>
        <v>0</v>
      </c>
      <c r="M28" s="12">
        <f>LoanModule!F33</f>
        <v>0</v>
      </c>
    </row>
    <row r="29" spans="1:13" x14ac:dyDescent="0.25">
      <c r="A29" s="4" t="s">
        <v>113</v>
      </c>
      <c r="B29" s="14">
        <f t="shared" ref="B29:M29" si="4">SUM(B28:B28)</f>
        <v>0</v>
      </c>
      <c r="C29" s="14">
        <f t="shared" si="4"/>
        <v>0</v>
      </c>
      <c r="D29" s="14">
        <f t="shared" si="4"/>
        <v>0</v>
      </c>
      <c r="E29" s="14">
        <f t="shared" si="4"/>
        <v>0</v>
      </c>
      <c r="F29" s="14">
        <f t="shared" si="4"/>
        <v>0</v>
      </c>
      <c r="G29" s="14">
        <f t="shared" si="4"/>
        <v>0</v>
      </c>
      <c r="H29" s="14">
        <f t="shared" si="4"/>
        <v>0</v>
      </c>
      <c r="I29" s="14">
        <f t="shared" si="4"/>
        <v>0</v>
      </c>
      <c r="J29" s="14">
        <f t="shared" si="4"/>
        <v>0</v>
      </c>
      <c r="K29" s="14">
        <f t="shared" si="4"/>
        <v>0</v>
      </c>
      <c r="L29" s="14">
        <f t="shared" si="4"/>
        <v>0</v>
      </c>
      <c r="M29" s="14">
        <f t="shared" si="4"/>
        <v>0</v>
      </c>
    </row>
    <row r="31" spans="1:13" x14ac:dyDescent="0.25">
      <c r="A31" s="4" t="s">
        <v>114</v>
      </c>
      <c r="B31" s="9">
        <f t="shared" ref="B31:M31" si="5">B25+B29</f>
        <v>338821.86887841939</v>
      </c>
      <c r="C31" s="9">
        <f t="shared" si="5"/>
        <v>342450.10151660431</v>
      </c>
      <c r="D31" s="9">
        <f t="shared" si="5"/>
        <v>346154.48810780607</v>
      </c>
      <c r="E31" s="9">
        <f t="shared" si="5"/>
        <v>349937.95000367239</v>
      </c>
      <c r="F31" s="9">
        <f t="shared" si="5"/>
        <v>353803.56227882917</v>
      </c>
      <c r="G31" s="9">
        <f t="shared" si="5"/>
        <v>357754.5626652817</v>
      </c>
      <c r="H31" s="9">
        <f t="shared" si="5"/>
        <v>361794.36102159717</v>
      </c>
      <c r="I31" s="9">
        <f t="shared" si="5"/>
        <v>365926.54936922196</v>
      </c>
      <c r="J31" s="9">
        <f t="shared" si="5"/>
        <v>370154.91253025923</v>
      </c>
      <c r="K31" s="9">
        <f t="shared" si="5"/>
        <v>374483.43940311752</v>
      </c>
      <c r="L31" s="9">
        <f t="shared" si="5"/>
        <v>378916.33491466101</v>
      </c>
      <c r="M31" s="9">
        <f t="shared" si="5"/>
        <v>383458.03268984047</v>
      </c>
    </row>
    <row r="33" spans="1:13" x14ac:dyDescent="0.25">
      <c r="A33" t="s">
        <v>115</v>
      </c>
    </row>
    <row r="34" spans="1:13" x14ac:dyDescent="0.25">
      <c r="A34" t="s">
        <v>116</v>
      </c>
      <c r="B34" s="12">
        <f>BalanceSheet_Year1!N34</f>
        <v>50000</v>
      </c>
      <c r="C34" s="12">
        <f t="shared" ref="C34:M34" si="6">B34</f>
        <v>50000</v>
      </c>
      <c r="D34" s="12">
        <f t="shared" si="6"/>
        <v>50000</v>
      </c>
      <c r="E34" s="12">
        <f t="shared" si="6"/>
        <v>50000</v>
      </c>
      <c r="F34" s="12">
        <f t="shared" si="6"/>
        <v>50000</v>
      </c>
      <c r="G34" s="12">
        <f t="shared" si="6"/>
        <v>50000</v>
      </c>
      <c r="H34" s="12">
        <f t="shared" si="6"/>
        <v>50000</v>
      </c>
      <c r="I34" s="12">
        <f t="shared" si="6"/>
        <v>50000</v>
      </c>
      <c r="J34" s="12">
        <f t="shared" si="6"/>
        <v>50000</v>
      </c>
      <c r="K34" s="12">
        <f t="shared" si="6"/>
        <v>50000</v>
      </c>
      <c r="L34" s="12">
        <f t="shared" si="6"/>
        <v>50000</v>
      </c>
      <c r="M34" s="12">
        <f t="shared" si="6"/>
        <v>50000</v>
      </c>
    </row>
    <row r="35" spans="1:13" x14ac:dyDescent="0.25">
      <c r="A35" t="s">
        <v>117</v>
      </c>
      <c r="B35" s="12">
        <f>DATA!N94+BalanceSheet_Year1!N35</f>
        <v>4500000</v>
      </c>
      <c r="C35" s="12">
        <f>DATA!O94+B35</f>
        <v>4500000</v>
      </c>
      <c r="D35" s="12">
        <f>DATA!P94+C35</f>
        <v>4500000</v>
      </c>
      <c r="E35" s="12">
        <f>DATA!Q94+D35</f>
        <v>4500000</v>
      </c>
      <c r="F35" s="12">
        <f>DATA!R94+E35</f>
        <v>4500000</v>
      </c>
      <c r="G35" s="12">
        <f>DATA!S94+F35</f>
        <v>4500000</v>
      </c>
      <c r="H35" s="12">
        <f>DATA!T94+G35</f>
        <v>4500000</v>
      </c>
      <c r="I35" s="12">
        <f>DATA!U94+H35</f>
        <v>4500000</v>
      </c>
      <c r="J35" s="12">
        <f>DATA!V94+I35</f>
        <v>4500000</v>
      </c>
      <c r="K35" s="12">
        <f>DATA!W94+J35</f>
        <v>4500000</v>
      </c>
      <c r="L35" s="12">
        <f>DATA!X94+K35</f>
        <v>4500000</v>
      </c>
      <c r="M35" s="12">
        <f>DATA!Y94+L35</f>
        <v>4500000</v>
      </c>
    </row>
    <row r="36" spans="1:13" x14ac:dyDescent="0.25">
      <c r="A36" t="s">
        <v>18</v>
      </c>
      <c r="B36" s="12">
        <f>BalanceSheet_Year1!N36+DATA!N40</f>
        <v>0</v>
      </c>
      <c r="C36" s="12">
        <f>B36+DATA!O40</f>
        <v>0</v>
      </c>
      <c r="D36" s="12">
        <f>C36+DATA!P40</f>
        <v>0</v>
      </c>
      <c r="E36" s="12">
        <f>D36+DATA!Q40</f>
        <v>0</v>
      </c>
      <c r="F36" s="12">
        <f>E36+DATA!R40</f>
        <v>0</v>
      </c>
      <c r="G36" s="12">
        <f>F36+DATA!S40</f>
        <v>0</v>
      </c>
      <c r="H36" s="12">
        <f>G36+DATA!T40</f>
        <v>0</v>
      </c>
      <c r="I36" s="12">
        <f>H36+DATA!U40</f>
        <v>0</v>
      </c>
      <c r="J36" s="12">
        <f>I36+DATA!V40</f>
        <v>0</v>
      </c>
      <c r="K36" s="12">
        <f>J36+DATA!W40</f>
        <v>0</v>
      </c>
      <c r="L36" s="12">
        <f>K36+DATA!X40</f>
        <v>0</v>
      </c>
      <c r="M36" s="12">
        <f>L36+DATA!Y40</f>
        <v>0</v>
      </c>
    </row>
    <row r="37" spans="1:13" x14ac:dyDescent="0.25">
      <c r="A37" t="s">
        <v>118</v>
      </c>
      <c r="B37" s="12">
        <f>(BalanceSheet_Year1!N37+IncomeStatement_Year2!B38)-B36</f>
        <v>1023910.0426930528</v>
      </c>
      <c r="C37" s="12">
        <f>(B37+IncomeStatement_Year2!C38)-C36</f>
        <v>1169247.0649467628</v>
      </c>
      <c r="D37" s="12">
        <f>(C37+IncomeStatement_Year2!D38)-D36</f>
        <v>1318918.8315149148</v>
      </c>
      <c r="E37" s="12">
        <f>(D37+IncomeStatement_Year2!E38)-E36</f>
        <v>1473024.5789730879</v>
      </c>
      <c r="F37" s="12">
        <f>(E37+IncomeStatement_Year2!F38)-F36</f>
        <v>1631667.4588336521</v>
      </c>
      <c r="G37" s="12">
        <f>(F37+IncomeStatement_Year2!G38)-G36</f>
        <v>1794954.749887849</v>
      </c>
      <c r="H37" s="12">
        <f>(G37+IncomeStatement_Year2!H38)-H36</f>
        <v>1962998.0834082277</v>
      </c>
      <c r="I37" s="12">
        <f>(H37+IncomeStatement_Year2!I38)-I36</f>
        <v>2135913.6820175038</v>
      </c>
      <c r="J37" s="12">
        <f>(I37+IncomeStatement_Year2!J38)-J36</f>
        <v>2313822.6130811125</v>
      </c>
      <c r="K37" s="12">
        <f>(J37+IncomeStatement_Year2!K38)-K36</f>
        <v>2496851.0575351869</v>
      </c>
      <c r="L37" s="12">
        <f>(K37+IncomeStatement_Year2!L38)-L36</f>
        <v>2685130.5951196412</v>
      </c>
      <c r="M37" s="12">
        <f>(L37+IncomeStatement_Year2!M38)-M36</f>
        <v>2878798.5070477091</v>
      </c>
    </row>
    <row r="38" spans="1:13" x14ac:dyDescent="0.25">
      <c r="A38" s="4" t="s">
        <v>119</v>
      </c>
      <c r="B38" s="9">
        <f>SUM(B34:B37)-B36+SUM(BalanceSheet_Year1!C36:N36)</f>
        <v>5573910.0426930524</v>
      </c>
      <c r="C38" s="9">
        <f>SUM(C34:C37)-C36+SUM(BalanceSheet_Year1!C36:N36)+SUM(BalanceSheet_Year2!B36:B36)</f>
        <v>5719247.0649467632</v>
      </c>
      <c r="D38" s="9">
        <f>SUM(D34:D37)-D36+SUM(BalanceSheet_Year1!C36:N36)+SUM(BalanceSheet_Year2!B36:C36)</f>
        <v>5868918.8315149145</v>
      </c>
      <c r="E38" s="9">
        <f>SUM(E34:E37)-E36+SUM(BalanceSheet_Year1!C36:N36)+SUM(BalanceSheet_Year2!B36:D36)</f>
        <v>6023024.5789730884</v>
      </c>
      <c r="F38" s="9">
        <f>SUM(F34:F37)-F36+SUM(BalanceSheet_Year1!C36:N36)+SUM(BalanceSheet_Year2!B36:E36)</f>
        <v>6181667.4588336516</v>
      </c>
      <c r="G38" s="9">
        <f>SUM(G34:G37)-G36+SUM(BalanceSheet_Year1!C36:N36)+SUM(BalanceSheet_Year2!B36:F36)</f>
        <v>6344954.7498878492</v>
      </c>
      <c r="H38" s="9">
        <f>SUM(H34:H37)-H36+SUM(BalanceSheet_Year1!C36:N36)+SUM(BalanceSheet_Year2!B36:G36)</f>
        <v>6512998.0834082272</v>
      </c>
      <c r="I38" s="9">
        <f>SUM(I34:I37)-I36+SUM(BalanceSheet_Year1!C36:N36)+SUM(BalanceSheet_Year2!B36:H36)</f>
        <v>6685913.6820175033</v>
      </c>
      <c r="J38" s="9">
        <f>SUM(J34:J37)-J36+SUM(BalanceSheet_Year1!C36:N36)+SUM(BalanceSheet_Year2!B36:I36)</f>
        <v>6863822.6130811125</v>
      </c>
      <c r="K38" s="9">
        <f>SUM(K34:K37)-K36+SUM(BalanceSheet_Year1!C36:N36)+SUM(BalanceSheet_Year2!B36:J36)</f>
        <v>7046851.0575351864</v>
      </c>
      <c r="L38" s="9">
        <f>SUM(L34:L37)-L36+SUM(BalanceSheet_Year1!C36:N36)+SUM(BalanceSheet_Year2!B36:K36)</f>
        <v>7235130.5951196412</v>
      </c>
      <c r="M38" s="9">
        <f>SUM(M34:M37)-M36+SUM(BalanceSheet_Year1!C36:N36)+SUM(BalanceSheet_Year2!B36:L36)</f>
        <v>7428798.5070477091</v>
      </c>
    </row>
    <row r="40" spans="1:13" x14ac:dyDescent="0.25">
      <c r="A40" s="4" t="s">
        <v>120</v>
      </c>
      <c r="B40" s="9">
        <f t="shared" ref="B40:M40" si="7">B38+B31</f>
        <v>5912731.911571472</v>
      </c>
      <c r="C40" s="9">
        <f t="shared" si="7"/>
        <v>6061697.1664633676</v>
      </c>
      <c r="D40" s="9">
        <f t="shared" si="7"/>
        <v>6215073.3196227206</v>
      </c>
      <c r="E40" s="9">
        <f t="shared" si="7"/>
        <v>6372962.5289767608</v>
      </c>
      <c r="F40" s="9">
        <f t="shared" si="7"/>
        <v>6535471.0211124811</v>
      </c>
      <c r="G40" s="9">
        <f t="shared" si="7"/>
        <v>6702709.312553131</v>
      </c>
      <c r="H40" s="9">
        <f t="shared" si="7"/>
        <v>6874792.4444298241</v>
      </c>
      <c r="I40" s="9">
        <f t="shared" si="7"/>
        <v>7051840.2313867249</v>
      </c>
      <c r="J40" s="9">
        <f t="shared" si="7"/>
        <v>7233977.5256113717</v>
      </c>
      <c r="K40" s="9">
        <f t="shared" si="7"/>
        <v>7421334.496938304</v>
      </c>
      <c r="L40" s="9">
        <f t="shared" si="7"/>
        <v>7614046.9300343022</v>
      </c>
      <c r="M40" s="9">
        <f t="shared" si="7"/>
        <v>7812256.5397375496</v>
      </c>
    </row>
    <row r="41" spans="1:13" x14ac:dyDescent="0.25">
      <c r="B41" s="6">
        <f>B20-B40</f>
        <v>0</v>
      </c>
      <c r="C41" s="6">
        <f t="shared" ref="C41:M41" si="8">C20-C40</f>
        <v>0</v>
      </c>
      <c r="D41" s="6">
        <f t="shared" si="8"/>
        <v>0</v>
      </c>
      <c r="E41" s="6">
        <f t="shared" si="8"/>
        <v>0</v>
      </c>
      <c r="F41" s="6">
        <f t="shared" si="8"/>
        <v>0</v>
      </c>
      <c r="G41" s="6">
        <f t="shared" si="8"/>
        <v>0</v>
      </c>
      <c r="H41" s="6">
        <f t="shared" si="8"/>
        <v>0</v>
      </c>
      <c r="I41" s="6">
        <f t="shared" si="8"/>
        <v>0</v>
      </c>
      <c r="J41" s="6">
        <f t="shared" si="8"/>
        <v>0</v>
      </c>
      <c r="K41" s="6">
        <f t="shared" si="8"/>
        <v>0</v>
      </c>
      <c r="L41" s="6">
        <f t="shared" si="8"/>
        <v>0</v>
      </c>
      <c r="M41" s="6">
        <f t="shared" si="8"/>
        <v>0</v>
      </c>
    </row>
    <row r="45" spans="1:13" x14ac:dyDescent="0.25">
      <c r="A45" t="s">
        <v>79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opLeftCell="A21" workbookViewId="0">
      <selection activeCell="D37" sqref="D37"/>
    </sheetView>
  </sheetViews>
  <sheetFormatPr defaultColWidth="8.85546875" defaultRowHeight="15" x14ac:dyDescent="0.25"/>
  <cols>
    <col min="1" max="1" width="34.140625" bestFit="1" customWidth="1"/>
    <col min="2" max="12" width="11.7109375" bestFit="1" customWidth="1"/>
    <col min="13" max="13" width="10.85546875" bestFit="1" customWidth="1"/>
  </cols>
  <sheetData>
    <row r="1" spans="1:13" x14ac:dyDescent="0.25">
      <c r="A1" t="str">
        <f>DATA!B1</f>
        <v>Example Manufacturing Company</v>
      </c>
    </row>
    <row r="2" spans="1:13" x14ac:dyDescent="0.25">
      <c r="A2" t="s">
        <v>96</v>
      </c>
    </row>
    <row r="3" spans="1:13" x14ac:dyDescent="0.25">
      <c r="A3" t="s">
        <v>81</v>
      </c>
    </row>
    <row r="5" spans="1:13" x14ac:dyDescent="0.25">
      <c r="A5" t="s">
        <v>97</v>
      </c>
      <c r="B5">
        <v>25</v>
      </c>
      <c r="C5">
        <v>26</v>
      </c>
      <c r="D5">
        <v>27</v>
      </c>
      <c r="E5">
        <v>28</v>
      </c>
      <c r="F5">
        <v>29</v>
      </c>
      <c r="G5">
        <v>30</v>
      </c>
      <c r="H5">
        <v>31</v>
      </c>
      <c r="I5">
        <v>32</v>
      </c>
      <c r="J5">
        <v>33</v>
      </c>
      <c r="K5">
        <v>34</v>
      </c>
      <c r="L5">
        <v>35</v>
      </c>
      <c r="M5">
        <v>36</v>
      </c>
    </row>
    <row r="7" spans="1:13" x14ac:dyDescent="0.25">
      <c r="A7" t="s">
        <v>98</v>
      </c>
    </row>
    <row r="8" spans="1:13" x14ac:dyDescent="0.25">
      <c r="A8" t="s">
        <v>99</v>
      </c>
    </row>
    <row r="9" spans="1:13" x14ac:dyDescent="0.25">
      <c r="A9" t="s">
        <v>100</v>
      </c>
      <c r="B9" s="12">
        <f>CashFlowStatement_Year3!B7+CashFlowStatement_Year3!B37</f>
        <v>7160124.16181067</v>
      </c>
      <c r="C9" s="12">
        <f>CashFlowStatement_Year3!C7+CashFlowStatement_Year3!C37</f>
        <v>7796135.3663658211</v>
      </c>
      <c r="D9" s="12">
        <f>CashFlowStatement_Year3!D7+CashFlowStatement_Year3!D37</f>
        <v>7458294.4561892282</v>
      </c>
      <c r="E9" s="12">
        <f>CashFlowStatement_Year3!E7+CashFlowStatement_Year3!E37</f>
        <v>8119569.5798244402</v>
      </c>
      <c r="F9" s="12">
        <f>CashFlowStatement_Year3!F7+CashFlowStatement_Year3!F37</f>
        <v>7814009.4209187189</v>
      </c>
      <c r="G9" s="12">
        <f>CashFlowStatement_Year3!G7+CashFlowStatement_Year3!G37</f>
        <v>8501986.552649105</v>
      </c>
      <c r="H9" s="12">
        <f>CashFlowStatement_Year3!H7+CashFlowStatement_Year3!H37</f>
        <v>8223890.9045576528</v>
      </c>
      <c r="I9" s="12">
        <f>CashFlowStatement_Year3!I7+CashFlowStatement_Year3!I37</f>
        <v>8933747.1787952781</v>
      </c>
      <c r="J9" s="12">
        <f>CashFlowStatement_Year3!J7+CashFlowStatement_Year3!J37</f>
        <v>8684737.4345834218</v>
      </c>
      <c r="K9" s="12">
        <f>CashFlowStatement_Year3!K7+CashFlowStatement_Year3!K37</f>
        <v>9430939.0421409812</v>
      </c>
      <c r="L9" s="12">
        <f>CashFlowStatement_Year3!L7+CashFlowStatement_Year3!L37</f>
        <v>9192753.2353379056</v>
      </c>
      <c r="M9" s="12">
        <f>CashFlowStatement_Year3!M7+CashFlowStatement_Year3!M37</f>
        <v>9964335.229270326</v>
      </c>
    </row>
    <row r="10" spans="1:13" x14ac:dyDescent="0.25">
      <c r="A10" t="s">
        <v>101</v>
      </c>
      <c r="B10" s="12">
        <f>IncomeStatement_Year3!B8-CashFlowStatement_Year3!B10+BalanceSheet_Year2!M10</f>
        <v>0</v>
      </c>
      <c r="C10" s="12">
        <f>IncomeStatement_Year3!C8-CashFlowStatement_Year3!C10+B10</f>
        <v>0</v>
      </c>
      <c r="D10" s="12">
        <f>IncomeStatement_Year3!D8-CashFlowStatement_Year3!D10+C10</f>
        <v>0</v>
      </c>
      <c r="E10" s="12">
        <f>IncomeStatement_Year3!E8-CashFlowStatement_Year3!E10+D10</f>
        <v>0</v>
      </c>
      <c r="F10" s="12">
        <f>IncomeStatement_Year3!F8-CashFlowStatement_Year3!F10+E10</f>
        <v>0</v>
      </c>
      <c r="G10" s="12">
        <f>IncomeStatement_Year3!G8-CashFlowStatement_Year3!G10+F10</f>
        <v>0</v>
      </c>
      <c r="H10" s="12">
        <f>IncomeStatement_Year3!H8-CashFlowStatement_Year3!H10+G10</f>
        <v>0</v>
      </c>
      <c r="I10" s="12">
        <f>IncomeStatement_Year3!I8-CashFlowStatement_Year3!I10+H10</f>
        <v>0</v>
      </c>
      <c r="J10" s="12">
        <f>IncomeStatement_Year3!J8-CashFlowStatement_Year3!J10+I10</f>
        <v>0</v>
      </c>
      <c r="K10" s="12">
        <f>IncomeStatement_Year3!K8-CashFlowStatement_Year3!K10+J10</f>
        <v>0</v>
      </c>
      <c r="L10" s="12">
        <f>IncomeStatement_Year3!L8-CashFlowStatement_Year3!L10+K10</f>
        <v>0</v>
      </c>
      <c r="M10" s="12">
        <f>IncomeStatement_Year3!M8-CashFlowStatement_Year3!M10+L10</f>
        <v>0</v>
      </c>
    </row>
    <row r="11" spans="1:13" x14ac:dyDescent="0.25">
      <c r="A11" t="s">
        <v>102</v>
      </c>
      <c r="B11" s="12">
        <f>'Inventory Module'!Z26</f>
        <v>685742.69935808179</v>
      </c>
      <c r="C11" s="12">
        <f>'Inventory Module'!AA26</f>
        <v>251284.42921622336</v>
      </c>
      <c r="D11" s="12">
        <f>'Inventory Module'!AB26</f>
        <v>796639.62611800281</v>
      </c>
      <c r="E11" s="12">
        <f>'Inventory Module'!AC26</f>
        <v>349009.13498368935</v>
      </c>
      <c r="F11" s="12">
        <f>'Inventory Module'!AD26</f>
        <v>874521.08735697903</v>
      </c>
      <c r="G11" s="12">
        <f>'Inventory Module'!AE26</f>
        <v>412987.99789574108</v>
      </c>
      <c r="H11" s="12">
        <f>'Inventory Module'!AF26</f>
        <v>924213.77628546662</v>
      </c>
      <c r="I11" s="12">
        <f>'Inventory Module'!AG26</f>
        <v>454376.81933219585</v>
      </c>
      <c r="J11" s="12">
        <f>'Inventory Module'!AH26</f>
        <v>950507.96629383869</v>
      </c>
      <c r="K11" s="12">
        <f>'Inventory Module'!AI26</f>
        <v>458753.11818967556</v>
      </c>
      <c r="L11" s="12">
        <f>'Inventory Module'!AJ26</f>
        <v>958945.29394059523</v>
      </c>
      <c r="M11" s="12">
        <f>'Inventory Module'!AK26</f>
        <v>457175.1593940499</v>
      </c>
    </row>
    <row r="12" spans="1:13" x14ac:dyDescent="0.25">
      <c r="A12" s="4" t="s">
        <v>103</v>
      </c>
      <c r="B12" s="14">
        <f t="shared" ref="B12:M12" si="0">SUM(B9:B11)</f>
        <v>7845866.8611687515</v>
      </c>
      <c r="C12" s="14">
        <f t="shared" si="0"/>
        <v>8047419.7955820449</v>
      </c>
      <c r="D12" s="14">
        <f t="shared" si="0"/>
        <v>8254934.0823072307</v>
      </c>
      <c r="E12" s="14">
        <f t="shared" si="0"/>
        <v>8468578.7148081288</v>
      </c>
      <c r="F12" s="14">
        <f t="shared" si="0"/>
        <v>8688530.5082756989</v>
      </c>
      <c r="G12" s="14">
        <f t="shared" si="0"/>
        <v>8914974.5505448468</v>
      </c>
      <c r="H12" s="14">
        <f t="shared" si="0"/>
        <v>9148104.6808431186</v>
      </c>
      <c r="I12" s="14">
        <f t="shared" si="0"/>
        <v>9388123.9981274735</v>
      </c>
      <c r="J12" s="14">
        <f t="shared" si="0"/>
        <v>9635245.4008772597</v>
      </c>
      <c r="K12" s="14">
        <f t="shared" si="0"/>
        <v>9889692.1603306569</v>
      </c>
      <c r="L12" s="14">
        <f t="shared" si="0"/>
        <v>10151698.5292785</v>
      </c>
      <c r="M12" s="14">
        <f t="shared" si="0"/>
        <v>10421510.388664376</v>
      </c>
    </row>
    <row r="14" spans="1:13" x14ac:dyDescent="0.25">
      <c r="A14" t="s">
        <v>104</v>
      </c>
    </row>
    <row r="15" spans="1:13" x14ac:dyDescent="0.25">
      <c r="A15" t="s">
        <v>10</v>
      </c>
      <c r="B15" s="12">
        <f>IF(B5=DATA!E19,DATA!B19,0)+BalanceSheet_Year2!M15</f>
        <v>200000</v>
      </c>
      <c r="C15" s="12">
        <f>IF(C5=DATA!E19,DATA!B19,0)+B15</f>
        <v>200000</v>
      </c>
      <c r="D15" s="12">
        <f>IF(D5=DATA!E19,DATA!B19,0)+C15</f>
        <v>200000</v>
      </c>
      <c r="E15" s="12">
        <f>IF(E5=DATA!E19,DATA!B19,0)+D15</f>
        <v>200000</v>
      </c>
      <c r="F15" s="12">
        <f>IF(F5=DATA!E19,DATA!B19,0)+E15</f>
        <v>200000</v>
      </c>
      <c r="G15" s="12">
        <f>IF(G5=DATA!E19,DATA!B19,0)+F15</f>
        <v>200000</v>
      </c>
      <c r="H15" s="12">
        <f>IF(H5=DATA!E19,DATA!B19,0)+G15</f>
        <v>200000</v>
      </c>
      <c r="I15" s="12">
        <f>IF(I5=DATA!E19,DATA!B19,0)+H15</f>
        <v>200000</v>
      </c>
      <c r="J15" s="12">
        <f>IF(J5=DATA!E19,DATA!B19,0)+I15</f>
        <v>200000</v>
      </c>
      <c r="K15" s="12">
        <f>IF(K5=DATA!E19,DATA!B19,0)+J15</f>
        <v>200000</v>
      </c>
      <c r="L15" s="12">
        <f>IF(L5=DATA!E19,DATA!B19,0)+K15</f>
        <v>200000</v>
      </c>
      <c r="M15" s="12">
        <f>IF(M5=DATA!E19,DATA!B19,0)+L15</f>
        <v>200000</v>
      </c>
    </row>
    <row r="16" spans="1:13" x14ac:dyDescent="0.25">
      <c r="A16" t="s">
        <v>15</v>
      </c>
      <c r="B16" s="12">
        <f>IF(B5=DATA!E22,DATA!B22,0)+BalanceSheet_Year2!M16</f>
        <v>10000</v>
      </c>
      <c r="C16" s="12">
        <f>IF(C5=DATA!E22,DATA!B22,0)+B16</f>
        <v>10000</v>
      </c>
      <c r="D16" s="12">
        <f>IF(D5=DATA!E22,DATA!B22,0)+C16</f>
        <v>10000</v>
      </c>
      <c r="E16" s="12">
        <f>IF(E5=DATA!E22,DATA!B22,0)+D16</f>
        <v>10000</v>
      </c>
      <c r="F16" s="12">
        <f>IF(F5=DATA!E22,DATA!B22,0)+E16</f>
        <v>10000</v>
      </c>
      <c r="G16" s="12">
        <f>IF(G5=DATA!E22,DATA!B22,0)+F16</f>
        <v>10000</v>
      </c>
      <c r="H16" s="12">
        <f>IF(H5=DATA!E22,DATA!B22,0)+G16</f>
        <v>10000</v>
      </c>
      <c r="I16" s="12">
        <f>IF(I5=DATA!E22,DATA!B22,0)+H16</f>
        <v>10000</v>
      </c>
      <c r="J16" s="12">
        <f>IF(J5=DATA!E22,DATA!B22,0)+I16</f>
        <v>10000</v>
      </c>
      <c r="K16" s="12">
        <f>IF(K5=DATA!E22,DATA!B22,0)+J16</f>
        <v>10000</v>
      </c>
      <c r="L16" s="12">
        <f>IF(L5=DATA!E22,DATA!B22,0)+K16</f>
        <v>10000</v>
      </c>
      <c r="M16" s="12">
        <f>IF(M5=DATA!E22,DATA!B22,0)+L16</f>
        <v>10000</v>
      </c>
    </row>
    <row r="17" spans="1:13" x14ac:dyDescent="0.25">
      <c r="A17" t="s">
        <v>105</v>
      </c>
      <c r="B17" s="12">
        <f>-(IncomeStatement_Year3!B31-BalanceSheet_Year2!M17)</f>
        <v>-49851.190476190466</v>
      </c>
      <c r="C17" s="12">
        <f>-(IncomeStatement_Year3!C31-B17)</f>
        <v>-51845.238095238084</v>
      </c>
      <c r="D17" s="12">
        <f>-(IncomeStatement_Year3!D31-C17)</f>
        <v>-53839.285714285703</v>
      </c>
      <c r="E17" s="12">
        <f>-(IncomeStatement_Year3!E31-D17)</f>
        <v>-55833.333333333321</v>
      </c>
      <c r="F17" s="12">
        <f>-(IncomeStatement_Year3!F31-E17)</f>
        <v>-57827.38095238094</v>
      </c>
      <c r="G17" s="12">
        <f>-(IncomeStatement_Year3!G31-F17)</f>
        <v>-59821.428571428558</v>
      </c>
      <c r="H17" s="12">
        <f>-(IncomeStatement_Year3!H31-G17)</f>
        <v>-61815.476190476176</v>
      </c>
      <c r="I17" s="12">
        <f>-(IncomeStatement_Year3!I31-H17)</f>
        <v>-63809.523809523795</v>
      </c>
      <c r="J17" s="12">
        <f>-(IncomeStatement_Year3!J31-I17)</f>
        <v>-65803.57142857142</v>
      </c>
      <c r="K17" s="12">
        <f>-(IncomeStatement_Year3!K31-J17)</f>
        <v>-67797.619047619039</v>
      </c>
      <c r="L17" s="12">
        <f>-(IncomeStatement_Year3!L31-K17)</f>
        <v>-69791.666666666657</v>
      </c>
      <c r="M17" s="12">
        <f>-(IncomeStatement_Year3!M31-L17)</f>
        <v>-71785.714285714275</v>
      </c>
    </row>
    <row r="18" spans="1:13" x14ac:dyDescent="0.25">
      <c r="A18" s="4" t="s">
        <v>106</v>
      </c>
      <c r="B18" s="14">
        <f t="shared" ref="B18:M18" si="1">SUM(B15:B17)</f>
        <v>160148.80952380953</v>
      </c>
      <c r="C18" s="14">
        <f t="shared" si="1"/>
        <v>158154.76190476192</v>
      </c>
      <c r="D18" s="14">
        <f t="shared" si="1"/>
        <v>156160.71428571429</v>
      </c>
      <c r="E18" s="14">
        <f t="shared" si="1"/>
        <v>154166.66666666669</v>
      </c>
      <c r="F18" s="14">
        <f t="shared" si="1"/>
        <v>152172.61904761905</v>
      </c>
      <c r="G18" s="14">
        <f t="shared" si="1"/>
        <v>150178.57142857145</v>
      </c>
      <c r="H18" s="14">
        <f t="shared" si="1"/>
        <v>148184.52380952382</v>
      </c>
      <c r="I18" s="14">
        <f t="shared" si="1"/>
        <v>146190.47619047621</v>
      </c>
      <c r="J18" s="14">
        <f t="shared" si="1"/>
        <v>144196.42857142858</v>
      </c>
      <c r="K18" s="14">
        <f t="shared" si="1"/>
        <v>142202.38095238095</v>
      </c>
      <c r="L18" s="14">
        <f t="shared" si="1"/>
        <v>140208.33333333334</v>
      </c>
      <c r="M18" s="14">
        <f t="shared" si="1"/>
        <v>138214.28571428574</v>
      </c>
    </row>
    <row r="20" spans="1:13" x14ac:dyDescent="0.25">
      <c r="A20" s="4" t="s">
        <v>107</v>
      </c>
      <c r="B20" s="9">
        <f t="shared" ref="B20:M20" si="2">B12+B18</f>
        <v>8006015.6706925612</v>
      </c>
      <c r="C20" s="9">
        <f t="shared" si="2"/>
        <v>8205574.557486807</v>
      </c>
      <c r="D20" s="9">
        <f t="shared" si="2"/>
        <v>8411094.7965929452</v>
      </c>
      <c r="E20" s="9">
        <f t="shared" si="2"/>
        <v>8622745.3814747948</v>
      </c>
      <c r="F20" s="9">
        <f t="shared" si="2"/>
        <v>8840703.1273233183</v>
      </c>
      <c r="G20" s="9">
        <f t="shared" si="2"/>
        <v>9065153.1219734177</v>
      </c>
      <c r="H20" s="9">
        <f t="shared" si="2"/>
        <v>9296289.2046526428</v>
      </c>
      <c r="I20" s="9">
        <f t="shared" si="2"/>
        <v>9534314.4743179493</v>
      </c>
      <c r="J20" s="9">
        <f t="shared" si="2"/>
        <v>9779441.8294486888</v>
      </c>
      <c r="K20" s="9">
        <f t="shared" si="2"/>
        <v>10031894.541283038</v>
      </c>
      <c r="L20" s="9">
        <f t="shared" si="2"/>
        <v>10291906.862611834</v>
      </c>
      <c r="M20" s="9">
        <f t="shared" si="2"/>
        <v>10559724.674378661</v>
      </c>
    </row>
    <row r="22" spans="1:13" x14ac:dyDescent="0.25">
      <c r="A22" s="4" t="s">
        <v>108</v>
      </c>
    </row>
    <row r="23" spans="1:13" x14ac:dyDescent="0.25">
      <c r="A23" t="s">
        <v>109</v>
      </c>
    </row>
    <row r="24" spans="1:13" x14ac:dyDescent="0.25">
      <c r="A24" t="s">
        <v>110</v>
      </c>
      <c r="B24" s="12">
        <f>(IncomeStatement_Year3!B12+SUM(IncomeStatement_Year3!B18:B28)+IncomeStatement_Year3!B30)/2</f>
        <v>388113.20848228259</v>
      </c>
      <c r="C24" s="12">
        <f>(IncomeStatement_Year3!C12+SUM(IncomeStatement_Year3!C18:C28)+IncomeStatement_Year3!C30)/2</f>
        <v>392886.79441196384</v>
      </c>
      <c r="D24" s="12">
        <f>(IncomeStatement_Year3!D12+SUM(IncomeStatement_Year3!D18:D28)+IncomeStatement_Year3!D30)/2</f>
        <v>397783.99405890162</v>
      </c>
      <c r="E24" s="12">
        <f>(IncomeStatement_Year3!E12+SUM(IncomeStatement_Year3!E18:E28)+IncomeStatement_Year3!E30)/2</f>
        <v>402810.29846478382</v>
      </c>
      <c r="F24" s="12">
        <f>(IncomeStatement_Year3!F12+SUM(IncomeStatement_Year3!F18:F28)+IncomeStatement_Year3!F30)/2</f>
        <v>407971.503097618</v>
      </c>
      <c r="G24" s="12">
        <f>(IncomeStatement_Year3!G12+SUM(IncomeStatement_Year3!G18:G28)+IncomeStatement_Year3!G30)/2</f>
        <v>413273.72583784093</v>
      </c>
      <c r="H24" s="12">
        <f>(IncomeStatement_Year3!H12+SUM(IncomeStatement_Year3!H18:H28)+IncomeStatement_Year3!H30)/2</f>
        <v>418723.42604789726</v>
      </c>
      <c r="I24" s="12">
        <f>(IncomeStatement_Year3!I12+SUM(IncomeStatement_Year3!I18:I28)+IncomeStatement_Year3!I30)/2</f>
        <v>424327.42479107354</v>
      </c>
      <c r="J24" s="12">
        <f>(IncomeStatement_Year3!J12+SUM(IncomeStatement_Year3!J18:J28)+IncomeStatement_Year3!J30)/2</f>
        <v>430092.92626939202</v>
      </c>
      <c r="K24" s="12">
        <f>(IncomeStatement_Year3!K12+SUM(IncomeStatement_Year3!K18:K28)+IncomeStatement_Year3!K30)/2</f>
        <v>436027.54055462778</v>
      </c>
      <c r="L24" s="12">
        <f>(IncomeStatement_Year3!L12+SUM(IncomeStatement_Year3!L18:L28)+IncomeStatement_Year3!L30)/2</f>
        <v>442139.30769103387</v>
      </c>
      <c r="M24" s="12">
        <f>(IncomeStatement_Year3!M12+SUM(IncomeStatement_Year3!M18:M28)+IncomeStatement_Year3!M30)/2</f>
        <v>448436.72325316002</v>
      </c>
    </row>
    <row r="25" spans="1:13" x14ac:dyDescent="0.25">
      <c r="A25" s="4" t="s">
        <v>111</v>
      </c>
      <c r="B25" s="14">
        <f t="shared" ref="B25:M25" si="3">B24</f>
        <v>388113.20848228259</v>
      </c>
      <c r="C25" s="14">
        <f t="shared" si="3"/>
        <v>392886.79441196384</v>
      </c>
      <c r="D25" s="14">
        <f t="shared" si="3"/>
        <v>397783.99405890162</v>
      </c>
      <c r="E25" s="14">
        <f t="shared" si="3"/>
        <v>402810.29846478382</v>
      </c>
      <c r="F25" s="14">
        <f t="shared" si="3"/>
        <v>407971.503097618</v>
      </c>
      <c r="G25" s="14">
        <f t="shared" si="3"/>
        <v>413273.72583784093</v>
      </c>
      <c r="H25" s="14">
        <f t="shared" si="3"/>
        <v>418723.42604789726</v>
      </c>
      <c r="I25" s="14">
        <f t="shared" si="3"/>
        <v>424327.42479107354</v>
      </c>
      <c r="J25" s="14">
        <f t="shared" si="3"/>
        <v>430092.92626939202</v>
      </c>
      <c r="K25" s="14">
        <f t="shared" si="3"/>
        <v>436027.54055462778</v>
      </c>
      <c r="L25" s="14">
        <f t="shared" si="3"/>
        <v>442139.30769103387</v>
      </c>
      <c r="M25" s="14">
        <f t="shared" si="3"/>
        <v>448436.72325316002</v>
      </c>
    </row>
    <row r="27" spans="1:13" x14ac:dyDescent="0.25">
      <c r="A27" t="s">
        <v>112</v>
      </c>
    </row>
    <row r="28" spans="1:13" x14ac:dyDescent="0.25">
      <c r="A28" t="str">
        <f>LoanModule!C1</f>
        <v>Bank Loan</v>
      </c>
      <c r="B28" s="12">
        <f>LoanModule!F34</f>
        <v>0</v>
      </c>
      <c r="C28" s="12">
        <f>LoanModule!F35</f>
        <v>0</v>
      </c>
      <c r="D28" s="12">
        <f>LoanModule!F36</f>
        <v>0</v>
      </c>
      <c r="E28" s="12">
        <f>LoanModule!F37</f>
        <v>0</v>
      </c>
      <c r="F28" s="12">
        <f>LoanModule!F38</f>
        <v>0</v>
      </c>
      <c r="G28" s="12">
        <f>LoanModule!F39</f>
        <v>0</v>
      </c>
      <c r="H28" s="12">
        <f>LoanModule!F40</f>
        <v>0</v>
      </c>
      <c r="I28" s="12">
        <f>LoanModule!F41</f>
        <v>0</v>
      </c>
      <c r="J28" s="12">
        <f>LoanModule!F42</f>
        <v>0</v>
      </c>
      <c r="K28" s="12">
        <f>LoanModule!F43</f>
        <v>0</v>
      </c>
      <c r="L28" s="12">
        <f>LoanModule!F44</f>
        <v>0</v>
      </c>
      <c r="M28" s="12">
        <f>LoanModule!F45</f>
        <v>500000</v>
      </c>
    </row>
    <row r="29" spans="1:13" x14ac:dyDescent="0.25">
      <c r="A29" s="4" t="s">
        <v>113</v>
      </c>
      <c r="B29" s="14">
        <f t="shared" ref="B29:M29" si="4">SUM(B28:B28)</f>
        <v>0</v>
      </c>
      <c r="C29" s="14">
        <f t="shared" si="4"/>
        <v>0</v>
      </c>
      <c r="D29" s="14">
        <f t="shared" si="4"/>
        <v>0</v>
      </c>
      <c r="E29" s="14">
        <f t="shared" si="4"/>
        <v>0</v>
      </c>
      <c r="F29" s="14">
        <f t="shared" si="4"/>
        <v>0</v>
      </c>
      <c r="G29" s="14">
        <f t="shared" si="4"/>
        <v>0</v>
      </c>
      <c r="H29" s="14">
        <f t="shared" si="4"/>
        <v>0</v>
      </c>
      <c r="I29" s="14">
        <f t="shared" si="4"/>
        <v>0</v>
      </c>
      <c r="J29" s="14">
        <f t="shared" si="4"/>
        <v>0</v>
      </c>
      <c r="K29" s="14">
        <f t="shared" si="4"/>
        <v>0</v>
      </c>
      <c r="L29" s="14">
        <f t="shared" si="4"/>
        <v>0</v>
      </c>
      <c r="M29" s="14">
        <f t="shared" si="4"/>
        <v>500000</v>
      </c>
    </row>
    <row r="31" spans="1:13" x14ac:dyDescent="0.25">
      <c r="A31" s="4" t="s">
        <v>114</v>
      </c>
      <c r="B31" s="9">
        <f t="shared" ref="B31:M31" si="5">B25+B29</f>
        <v>388113.20848228259</v>
      </c>
      <c r="C31" s="9">
        <f t="shared" si="5"/>
        <v>392886.79441196384</v>
      </c>
      <c r="D31" s="9">
        <f t="shared" si="5"/>
        <v>397783.99405890162</v>
      </c>
      <c r="E31" s="9">
        <f t="shared" si="5"/>
        <v>402810.29846478382</v>
      </c>
      <c r="F31" s="9">
        <f t="shared" si="5"/>
        <v>407971.503097618</v>
      </c>
      <c r="G31" s="9">
        <f t="shared" si="5"/>
        <v>413273.72583784093</v>
      </c>
      <c r="H31" s="9">
        <f t="shared" si="5"/>
        <v>418723.42604789726</v>
      </c>
      <c r="I31" s="9">
        <f t="shared" si="5"/>
        <v>424327.42479107354</v>
      </c>
      <c r="J31" s="9">
        <f t="shared" si="5"/>
        <v>430092.92626939202</v>
      </c>
      <c r="K31" s="9">
        <f t="shared" si="5"/>
        <v>436027.54055462778</v>
      </c>
      <c r="L31" s="9">
        <f t="shared" si="5"/>
        <v>442139.30769103387</v>
      </c>
      <c r="M31" s="9">
        <f t="shared" si="5"/>
        <v>948436.72325316002</v>
      </c>
    </row>
    <row r="33" spans="1:13" x14ac:dyDescent="0.25">
      <c r="A33" t="s">
        <v>115</v>
      </c>
    </row>
    <row r="34" spans="1:13" x14ac:dyDescent="0.25">
      <c r="A34" t="s">
        <v>116</v>
      </c>
      <c r="B34" s="12">
        <f>BalanceSheet_Year2!M34</f>
        <v>50000</v>
      </c>
      <c r="C34" s="12">
        <f t="shared" ref="C34:M34" si="6">B34</f>
        <v>50000</v>
      </c>
      <c r="D34" s="12">
        <f t="shared" si="6"/>
        <v>50000</v>
      </c>
      <c r="E34" s="12">
        <f t="shared" si="6"/>
        <v>50000</v>
      </c>
      <c r="F34" s="12">
        <f t="shared" si="6"/>
        <v>50000</v>
      </c>
      <c r="G34" s="12">
        <f t="shared" si="6"/>
        <v>50000</v>
      </c>
      <c r="H34" s="12">
        <f t="shared" si="6"/>
        <v>50000</v>
      </c>
      <c r="I34" s="12">
        <f t="shared" si="6"/>
        <v>50000</v>
      </c>
      <c r="J34" s="12">
        <f t="shared" si="6"/>
        <v>50000</v>
      </c>
      <c r="K34" s="12">
        <f t="shared" si="6"/>
        <v>50000</v>
      </c>
      <c r="L34" s="12">
        <f t="shared" si="6"/>
        <v>50000</v>
      </c>
      <c r="M34" s="12">
        <f t="shared" si="6"/>
        <v>50000</v>
      </c>
    </row>
    <row r="35" spans="1:13" x14ac:dyDescent="0.25">
      <c r="A35" t="s">
        <v>117</v>
      </c>
      <c r="B35" s="12">
        <f>DATA!Z94+BalanceSheet_Year2!M35</f>
        <v>4500000</v>
      </c>
      <c r="C35" s="12">
        <f>DATA!AA94+B35</f>
        <v>4500000</v>
      </c>
      <c r="D35" s="12">
        <f>DATA!AB94+C35</f>
        <v>4500000</v>
      </c>
      <c r="E35" s="12">
        <f>DATA!AC94+D35</f>
        <v>4500000</v>
      </c>
      <c r="F35" s="12">
        <f>DATA!AD94+E35</f>
        <v>4500000</v>
      </c>
      <c r="G35" s="12">
        <f>DATA!AE94+F35</f>
        <v>4500000</v>
      </c>
      <c r="H35" s="12">
        <f>DATA!AF94+G35</f>
        <v>4500000</v>
      </c>
      <c r="I35" s="12">
        <f>DATA!AG94+H35</f>
        <v>4500000</v>
      </c>
      <c r="J35" s="12">
        <f>DATA!AH94+I35</f>
        <v>4500000</v>
      </c>
      <c r="K35" s="12">
        <f>DATA!AI94+J35</f>
        <v>4500000</v>
      </c>
      <c r="L35" s="12">
        <f>DATA!AJ94+K35</f>
        <v>4500000</v>
      </c>
      <c r="M35" s="12">
        <f>DATA!AK94+L35</f>
        <v>4500000</v>
      </c>
    </row>
    <row r="36" spans="1:13" x14ac:dyDescent="0.25">
      <c r="A36" t="s">
        <v>18</v>
      </c>
      <c r="B36" s="12">
        <f>BalanceSheet_Year2!M36+DATA!Z40</f>
        <v>0</v>
      </c>
      <c r="C36" s="12">
        <f>B36+DATA!AA40</f>
        <v>0</v>
      </c>
      <c r="D36" s="12">
        <f>C36+DATA!AB40</f>
        <v>0</v>
      </c>
      <c r="E36" s="12">
        <f>D36+DATA!AC40</f>
        <v>0</v>
      </c>
      <c r="F36" s="12">
        <f>E36+DATA!AD40</f>
        <v>0</v>
      </c>
      <c r="G36" s="12">
        <f>F36+DATA!AE40</f>
        <v>0</v>
      </c>
      <c r="H36" s="12">
        <f>G36+DATA!AF40</f>
        <v>0</v>
      </c>
      <c r="I36" s="12">
        <f>H36+DATA!AG40</f>
        <v>0</v>
      </c>
      <c r="J36" s="12">
        <f>I36+DATA!AH40</f>
        <v>0</v>
      </c>
      <c r="K36" s="12">
        <f>J36+DATA!AI40</f>
        <v>0</v>
      </c>
      <c r="L36" s="12">
        <f>K36+DATA!AJ40</f>
        <v>0</v>
      </c>
      <c r="M36" s="12">
        <f>L36+DATA!AK40</f>
        <v>0</v>
      </c>
    </row>
    <row r="37" spans="1:13" x14ac:dyDescent="0.25">
      <c r="A37" t="s">
        <v>118</v>
      </c>
      <c r="B37" s="12">
        <f>(BalanceSheet_Year2!M37+IncomeStatement_Year3!B38)-B36</f>
        <v>3067902.462210278</v>
      </c>
      <c r="C37" s="12">
        <f>(B37+IncomeStatement_Year3!C38)-C36</f>
        <v>3262687.7630748418</v>
      </c>
      <c r="D37" s="12">
        <f>(C37+IncomeStatement_Year3!D38)-D36</f>
        <v>3463310.8025340433</v>
      </c>
      <c r="E37" s="12">
        <f>(D37+IncomeStatement_Year3!E38)-E36</f>
        <v>3669935.0830100123</v>
      </c>
      <c r="F37" s="12">
        <f>(E37+IncomeStatement_Year3!F38)-F36</f>
        <v>3882731.6242256993</v>
      </c>
      <c r="G37" s="12">
        <f>(F37+IncomeStatement_Year3!G38)-G36</f>
        <v>4101879.3961355765</v>
      </c>
      <c r="H37" s="12">
        <f>(G37+IncomeStatement_Year3!H38)-H36</f>
        <v>4327565.7786047459</v>
      </c>
      <c r="I37" s="12">
        <f>(H37+IncomeStatement_Year3!I38)-I36</f>
        <v>4559987.0495268758</v>
      </c>
      <c r="J37" s="12">
        <f>(I37+IncomeStatement_Year3!J38)-J36</f>
        <v>4799348.9031792963</v>
      </c>
      <c r="K37" s="12">
        <f>(J37+IncomeStatement_Year3!K38)-K36</f>
        <v>5045867.0007284088</v>
      </c>
      <c r="L37" s="12">
        <f>(K37+IncomeStatement_Year3!L38)-L36</f>
        <v>5299767.5549207982</v>
      </c>
      <c r="M37" s="12">
        <f>(L37+IncomeStatement_Year3!M38)-M36</f>
        <v>5561287.9511254998</v>
      </c>
    </row>
    <row r="38" spans="1:13" x14ac:dyDescent="0.25">
      <c r="A38" s="4" t="s">
        <v>119</v>
      </c>
      <c r="B38" s="9">
        <f>SUM(B34:B37)-B36+SUM(BalanceSheet_Year1!C36:N36)+SUM(BalanceSheet_Year2!B36:M36)</f>
        <v>7617902.462210278</v>
      </c>
      <c r="C38" s="9">
        <f>SUM(C34:C37)-C36+SUM(BalanceSheet_Year1!C36:N36)+SUM(BalanceSheet_Year2!B36:M36)+SUM(BalanceSheet_Year3!B36:B36)</f>
        <v>7812687.7630748414</v>
      </c>
      <c r="D38" s="9">
        <f>SUM(D34:D37)-D36+SUM(BalanceSheet_Year1!C36:N36)+SUM(BalanceSheet_Year2!B36:M36)+SUM(BalanceSheet_Year3!B36:C36)</f>
        <v>8013310.8025340438</v>
      </c>
      <c r="E38" s="9">
        <f>SUM(E34:E37)-E36+SUM(BalanceSheet_Year1!C36:N36)+SUM(BalanceSheet_Year2!B36:M36)+SUM(BalanceSheet_Year3!B36:D36)</f>
        <v>8219935.0830100123</v>
      </c>
      <c r="F38" s="9">
        <f>SUM(F34:F37)-F36+SUM(BalanceSheet_Year1!C36:N36)+SUM(BalanceSheet_Year2!B36:M36)+SUM(BalanceSheet_Year3!B36:E36)</f>
        <v>8432731.6242256984</v>
      </c>
      <c r="G38" s="9">
        <f>SUM(G34:G37)-G36+SUM(BalanceSheet_Year1!C36:N36)+SUM(BalanceSheet_Year2!B36:M36)+SUM(BalanceSheet_Year3!B36:F36)</f>
        <v>8651879.3961355761</v>
      </c>
      <c r="H38" s="9">
        <f>SUM(H34:H37)-H36+SUM(BalanceSheet_Year1!C36:N36)+SUM(BalanceSheet_Year2!B36:M36)+SUM(BalanceSheet_Year3!B36:G36)</f>
        <v>8877565.7786047459</v>
      </c>
      <c r="I38" s="9">
        <f>SUM(I34:I37)-I36+SUM(BalanceSheet_Year1!C36:N36)+SUM(BalanceSheet_Year2!B36:M36)+SUM(BalanceSheet_Year3!B36:H36)</f>
        <v>9109987.0495268758</v>
      </c>
      <c r="J38" s="9">
        <f>SUM(J34:J37)-J36+SUM(BalanceSheet_Year1!C36:N36)+SUM(BalanceSheet_Year2!B36:M36)+SUM(BalanceSheet_Year3!B36:I36)</f>
        <v>9349348.9031792954</v>
      </c>
      <c r="K38" s="9">
        <f>SUM(K34:K37)-K36+SUM(BalanceSheet_Year1!C36:N36)+SUM(BalanceSheet_Year2!B36:M36)+SUM(BalanceSheet_Year3!B36:J36)</f>
        <v>9595867.0007284097</v>
      </c>
      <c r="L38" s="9">
        <f>SUM(L34:L37)-L36+SUM(BalanceSheet_Year1!C36:N36)+SUM(BalanceSheet_Year2!B36:M36)+SUM(BalanceSheet_Year3!B36:K36)</f>
        <v>9849767.5549207982</v>
      </c>
      <c r="M38" s="9">
        <f>SUM(M34:M37)-M36+SUM(BalanceSheet_Year1!C36:N36)+SUM(BalanceSheet_Year2!B36:M36)+SUM(BalanceSheet_Year3!B36:L36)</f>
        <v>10111287.951125499</v>
      </c>
    </row>
    <row r="40" spans="1:13" x14ac:dyDescent="0.25">
      <c r="A40" s="4" t="s">
        <v>120</v>
      </c>
      <c r="B40" s="9">
        <f t="shared" ref="B40:M40" si="7">B38+B31</f>
        <v>8006015.6706925603</v>
      </c>
      <c r="C40" s="9">
        <f t="shared" si="7"/>
        <v>8205574.5574868051</v>
      </c>
      <c r="D40" s="9">
        <f t="shared" si="7"/>
        <v>8411094.7965929452</v>
      </c>
      <c r="E40" s="9">
        <f t="shared" si="7"/>
        <v>8622745.3814747967</v>
      </c>
      <c r="F40" s="9">
        <f t="shared" si="7"/>
        <v>8840703.1273233164</v>
      </c>
      <c r="G40" s="9">
        <f t="shared" si="7"/>
        <v>9065153.1219734177</v>
      </c>
      <c r="H40" s="9">
        <f t="shared" si="7"/>
        <v>9296289.2046526428</v>
      </c>
      <c r="I40" s="9">
        <f t="shared" si="7"/>
        <v>9534314.4743179493</v>
      </c>
      <c r="J40" s="9">
        <f t="shared" si="7"/>
        <v>9779441.8294486869</v>
      </c>
      <c r="K40" s="9">
        <f t="shared" si="7"/>
        <v>10031894.541283038</v>
      </c>
      <c r="L40" s="9">
        <f t="shared" si="7"/>
        <v>10291906.862611832</v>
      </c>
      <c r="M40" s="9">
        <f t="shared" si="7"/>
        <v>11059724.67437866</v>
      </c>
    </row>
    <row r="41" spans="1:13" x14ac:dyDescent="0.25">
      <c r="B41" s="6">
        <f>B20-B40</f>
        <v>0</v>
      </c>
      <c r="C41" s="6">
        <f t="shared" ref="C41:M41" si="8">C20-C40</f>
        <v>0</v>
      </c>
      <c r="D41" s="6">
        <f t="shared" si="8"/>
        <v>0</v>
      </c>
      <c r="E41" s="6">
        <f t="shared" si="8"/>
        <v>0</v>
      </c>
      <c r="F41" s="6">
        <f t="shared" si="8"/>
        <v>0</v>
      </c>
      <c r="G41" s="6">
        <f t="shared" si="8"/>
        <v>0</v>
      </c>
      <c r="H41" s="6">
        <f t="shared" si="8"/>
        <v>0</v>
      </c>
      <c r="I41" s="6">
        <f t="shared" si="8"/>
        <v>0</v>
      </c>
      <c r="J41" s="6">
        <f t="shared" si="8"/>
        <v>0</v>
      </c>
      <c r="K41" s="6">
        <f t="shared" si="8"/>
        <v>0</v>
      </c>
      <c r="L41" s="6">
        <f t="shared" si="8"/>
        <v>0</v>
      </c>
      <c r="M41" s="6">
        <f t="shared" si="8"/>
        <v>-499999.99999999814</v>
      </c>
    </row>
    <row r="45" spans="1:13" x14ac:dyDescent="0.25">
      <c r="A45" t="s">
        <v>79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opLeftCell="A21" workbookViewId="0">
      <selection activeCell="G44" sqref="G44"/>
    </sheetView>
  </sheetViews>
  <sheetFormatPr defaultColWidth="8.85546875" defaultRowHeight="15" x14ac:dyDescent="0.25"/>
  <cols>
    <col min="1" max="1" width="34.140625" bestFit="1" customWidth="1"/>
    <col min="2" max="12" width="11.7109375" bestFit="1" customWidth="1"/>
    <col min="13" max="13" width="10.85546875" bestFit="1" customWidth="1"/>
  </cols>
  <sheetData>
    <row r="1" spans="1:13" x14ac:dyDescent="0.25">
      <c r="A1" t="str">
        <f>DATA!B1</f>
        <v>Example Manufacturing Company</v>
      </c>
    </row>
    <row r="2" spans="1:13" x14ac:dyDescent="0.25">
      <c r="A2" t="s">
        <v>96</v>
      </c>
    </row>
    <row r="3" spans="1:13" x14ac:dyDescent="0.25">
      <c r="A3" t="s">
        <v>137</v>
      </c>
    </row>
    <row r="5" spans="1:13" x14ac:dyDescent="0.25">
      <c r="A5" t="s">
        <v>97</v>
      </c>
      <c r="B5">
        <v>37</v>
      </c>
      <c r="C5">
        <v>38</v>
      </c>
      <c r="D5">
        <v>39</v>
      </c>
      <c r="E5">
        <v>40</v>
      </c>
      <c r="F5">
        <v>41</v>
      </c>
      <c r="G5">
        <v>42</v>
      </c>
      <c r="H5">
        <v>43</v>
      </c>
      <c r="I5">
        <v>44</v>
      </c>
      <c r="J5">
        <v>45</v>
      </c>
      <c r="K5">
        <v>46</v>
      </c>
      <c r="L5">
        <v>47</v>
      </c>
      <c r="M5">
        <v>48</v>
      </c>
    </row>
    <row r="7" spans="1:13" x14ac:dyDescent="0.25">
      <c r="A7" t="s">
        <v>98</v>
      </c>
    </row>
    <row r="8" spans="1:13" x14ac:dyDescent="0.25">
      <c r="A8" t="s">
        <v>99</v>
      </c>
    </row>
    <row r="9" spans="1:13" x14ac:dyDescent="0.25">
      <c r="A9" t="s">
        <v>100</v>
      </c>
      <c r="B9" s="12">
        <f>CashFlowStatement_Year4!B7+CashFlowStatement_Year4!B37</f>
        <v>9759008.4454674423</v>
      </c>
      <c r="C9" s="12">
        <f>CashFlowStatement_Year4!C7+CashFlowStatement_Year4!C37</f>
        <v>10550915.685825991</v>
      </c>
      <c r="D9" s="12">
        <f>CashFlowStatement_Year4!D7+CashFlowStatement_Year4!D37</f>
        <v>10380627.020247757</v>
      </c>
      <c r="E9" s="12">
        <f>CashFlowStatement_Year4!E7+CashFlowStatement_Year4!E37</f>
        <v>11202254.836417617</v>
      </c>
      <c r="F9" s="12">
        <f>CashFlowStatement_Year4!F7+CashFlowStatement_Year4!F37</f>
        <v>11069388.482807519</v>
      </c>
      <c r="G9" s="12">
        <f>CashFlowStatement_Year4!G7+CashFlowStatement_Year4!G37</f>
        <v>11909352.144891055</v>
      </c>
      <c r="H9" s="12">
        <f>CashFlowStatement_Year4!H7+CashFlowStatement_Year4!H37</f>
        <v>11816515.761917194</v>
      </c>
      <c r="I9" s="12">
        <f>CashFlowStatement_Year4!I7+CashFlowStatement_Year4!I37</f>
        <v>12724801.090077022</v>
      </c>
      <c r="J9" s="12">
        <f>CashFlowStatement_Year4!J7+CashFlowStatement_Year4!J37</f>
        <v>12668426.878431005</v>
      </c>
      <c r="K9" s="12">
        <f>CashFlowStatement_Year4!K7+CashFlowStatement_Year4!K37</f>
        <v>12641294.313483007</v>
      </c>
      <c r="L9" s="12">
        <f>CashFlowStatement_Year4!L7+CashFlowStatement_Year4!L37</f>
        <v>13590585.111302577</v>
      </c>
      <c r="M9" s="12">
        <f>CashFlowStatement_Year4!M7+CashFlowStatement_Year4!M37</f>
        <v>13611412.199404445</v>
      </c>
    </row>
    <row r="10" spans="1:13" x14ac:dyDescent="0.25">
      <c r="A10" t="s">
        <v>101</v>
      </c>
      <c r="B10" s="12">
        <f>IncomeStatement_Year4!B8-CashFlowStatement_Year4!B10+BalanceSheet_Year3!M10</f>
        <v>0</v>
      </c>
      <c r="C10" s="12">
        <f>IncomeStatement_Year4!C8-CashFlowStatement_Year4!C10+B10</f>
        <v>0</v>
      </c>
      <c r="D10" s="12">
        <f>IncomeStatement_Year4!D8-CashFlowStatement_Year4!D10+C10</f>
        <v>0</v>
      </c>
      <c r="E10" s="12">
        <f>IncomeStatement_Year4!E8-CashFlowStatement_Year4!E10+D10</f>
        <v>0</v>
      </c>
      <c r="F10" s="12">
        <f>IncomeStatement_Year4!F8-CashFlowStatement_Year4!F10+E10</f>
        <v>0</v>
      </c>
      <c r="G10" s="12">
        <f>IncomeStatement_Year4!G8-CashFlowStatement_Year4!G10+F10</f>
        <v>0</v>
      </c>
      <c r="H10" s="12">
        <f>IncomeStatement_Year4!H8-CashFlowStatement_Year4!H10+G10</f>
        <v>0</v>
      </c>
      <c r="I10" s="12">
        <f>IncomeStatement_Year4!I8-CashFlowStatement_Year4!I10+H10</f>
        <v>0</v>
      </c>
      <c r="J10" s="12">
        <f>IncomeStatement_Year4!J8-CashFlowStatement_Year4!J10+I10</f>
        <v>0</v>
      </c>
      <c r="K10" s="12">
        <f>IncomeStatement_Year4!K8-CashFlowStatement_Year4!K10+J10</f>
        <v>0</v>
      </c>
      <c r="L10" s="12">
        <f>IncomeStatement_Year4!L8-CashFlowStatement_Year4!L10+K10</f>
        <v>0</v>
      </c>
      <c r="M10" s="12">
        <f>IncomeStatement_Year4!M8-CashFlowStatement_Year4!M10+L10</f>
        <v>0</v>
      </c>
    </row>
    <row r="11" spans="1:13" x14ac:dyDescent="0.25">
      <c r="A11" t="s">
        <v>102</v>
      </c>
      <c r="B11" s="12">
        <f>'Inventory Module'!AL26</f>
        <v>920355.57488678733</v>
      </c>
      <c r="C11" s="12">
        <f>'Inventory Module'!AM26</f>
        <v>394636.89294017397</v>
      </c>
      <c r="D11" s="12">
        <f>'Inventory Module'!AN26</f>
        <v>839734.10352938157</v>
      </c>
      <c r="E11" s="12">
        <f>'Inventory Module'!AO26</f>
        <v>301834.52166071779</v>
      </c>
      <c r="F11" s="12">
        <f>'Inventory Module'!AP26</f>
        <v>727664.01909110765</v>
      </c>
      <c r="G11" s="12">
        <f>'Inventory Module'!AQ26</f>
        <v>190230.07749514648</v>
      </c>
      <c r="H11" s="12">
        <f>'Inventory Module'!AR26</f>
        <v>595511.85920071637</v>
      </c>
      <c r="I11" s="12">
        <f>'Inventory Module'!AS26</f>
        <v>9955.1933509917999</v>
      </c>
      <c r="J11" s="12">
        <f>'Inventory Module'!AT26</f>
        <v>399728.51505334245</v>
      </c>
      <c r="K11" s="12">
        <f>'Inventory Module'!AU26</f>
        <v>771338.60580856842</v>
      </c>
      <c r="L11" s="12">
        <f>'Inventory Module'!AV26</f>
        <v>178033.76076641207</v>
      </c>
      <c r="M11" s="12">
        <f>'Inventory Module'!AW26</f>
        <v>525154.44533101539</v>
      </c>
    </row>
    <row r="12" spans="1:13" x14ac:dyDescent="0.25">
      <c r="A12" s="4" t="s">
        <v>103</v>
      </c>
      <c r="B12" s="14">
        <f t="shared" ref="B12:M12" si="0">SUM(B9:B11)</f>
        <v>10679364.02035423</v>
      </c>
      <c r="C12" s="14">
        <f t="shared" si="0"/>
        <v>10945552.578766165</v>
      </c>
      <c r="D12" s="14">
        <f t="shared" si="0"/>
        <v>11220361.12377714</v>
      </c>
      <c r="E12" s="14">
        <f t="shared" si="0"/>
        <v>11504089.358078334</v>
      </c>
      <c r="F12" s="14">
        <f t="shared" si="0"/>
        <v>11797052.501898626</v>
      </c>
      <c r="G12" s="14">
        <f t="shared" si="0"/>
        <v>12099582.222386202</v>
      </c>
      <c r="H12" s="14">
        <f t="shared" si="0"/>
        <v>12412027.62111791</v>
      </c>
      <c r="I12" s="14">
        <f t="shared" si="0"/>
        <v>12734756.283428013</v>
      </c>
      <c r="J12" s="14">
        <f t="shared" si="0"/>
        <v>13068155.393484348</v>
      </c>
      <c r="K12" s="14">
        <f t="shared" si="0"/>
        <v>13412632.919291576</v>
      </c>
      <c r="L12" s="14">
        <f t="shared" si="0"/>
        <v>13768618.872068988</v>
      </c>
      <c r="M12" s="14">
        <f t="shared" si="0"/>
        <v>14136566.644735459</v>
      </c>
    </row>
    <row r="14" spans="1:13" x14ac:dyDescent="0.25">
      <c r="A14" t="s">
        <v>104</v>
      </c>
    </row>
    <row r="15" spans="1:13" x14ac:dyDescent="0.25">
      <c r="A15" t="s">
        <v>10</v>
      </c>
      <c r="B15" s="12">
        <f>IF(B5=DATA!E19,DATA!B19,0)+BalanceSheet_Year3!M15</f>
        <v>200000</v>
      </c>
      <c r="C15" s="12">
        <f>IF(C5=DATA!E19,DATA!B19,0)+B15</f>
        <v>200000</v>
      </c>
      <c r="D15" s="12">
        <f>IF(D5=DATA!E19,DATA!B19,0)+C15</f>
        <v>200000</v>
      </c>
      <c r="E15" s="12">
        <f>IF(E5=DATA!E19,DATA!B19,0)+D15</f>
        <v>200000</v>
      </c>
      <c r="F15" s="12">
        <f>IF(F5=DATA!E19,DATA!B19,0)+E15</f>
        <v>200000</v>
      </c>
      <c r="G15" s="12">
        <f>IF(G5=DATA!E19,DATA!B19,0)+F15</f>
        <v>200000</v>
      </c>
      <c r="H15" s="12">
        <f>IF(H5=DATA!E19,DATA!B19,0)+G15</f>
        <v>200000</v>
      </c>
      <c r="I15" s="12">
        <f>IF(I5=DATA!E19,DATA!B19,0)+H15</f>
        <v>200000</v>
      </c>
      <c r="J15" s="12">
        <f>IF(J5=DATA!E19,DATA!B19,0)+I15</f>
        <v>200000</v>
      </c>
      <c r="K15" s="12">
        <f>IF(K5=DATA!E19,DATA!B19,0)+J15</f>
        <v>200000</v>
      </c>
      <c r="L15" s="12">
        <f>IF(L5=DATA!E19,DATA!B19,0)+K15</f>
        <v>200000</v>
      </c>
      <c r="M15" s="12">
        <f>IF(M5=DATA!E19,DATA!B19,0)+L15</f>
        <v>200000</v>
      </c>
    </row>
    <row r="16" spans="1:13" x14ac:dyDescent="0.25">
      <c r="A16" t="s">
        <v>15</v>
      </c>
      <c r="B16" s="12">
        <f>IF(B5=DATA!E22,DATA!B22,0)+BalanceSheet_Year3!M16</f>
        <v>10000</v>
      </c>
      <c r="C16" s="12">
        <f>IF(C5=DATA!E22,DATA!B22,0)+B16</f>
        <v>10000</v>
      </c>
      <c r="D16" s="12">
        <f>IF(D5=DATA!E22,DATA!B22,0)+C16</f>
        <v>10000</v>
      </c>
      <c r="E16" s="12">
        <f>IF(E5=DATA!E22,DATA!B22,0)+D16</f>
        <v>10000</v>
      </c>
      <c r="F16" s="12">
        <f>IF(F5=DATA!E22,DATA!B22,0)+E16</f>
        <v>10000</v>
      </c>
      <c r="G16" s="12">
        <f>IF(G5=DATA!E22,DATA!B22,0)+F16</f>
        <v>10000</v>
      </c>
      <c r="H16" s="12">
        <f>IF(H5=DATA!E22,DATA!B22,0)+G16</f>
        <v>10000</v>
      </c>
      <c r="I16" s="12">
        <f>IF(I5=DATA!E22,DATA!B22,0)+H16</f>
        <v>10000</v>
      </c>
      <c r="J16" s="12">
        <f>IF(J5=DATA!E22,DATA!B22,0)+I16</f>
        <v>10000</v>
      </c>
      <c r="K16" s="12">
        <f>IF(K5=DATA!E22,DATA!B22,0)+J16</f>
        <v>10000</v>
      </c>
      <c r="L16" s="12">
        <f>IF(L5=DATA!E22,DATA!B22,0)+K16</f>
        <v>10000</v>
      </c>
      <c r="M16" s="12">
        <f>IF(M5=DATA!E22,DATA!B22,0)+L16</f>
        <v>10000</v>
      </c>
    </row>
    <row r="17" spans="1:13" x14ac:dyDescent="0.25">
      <c r="A17" t="s">
        <v>105</v>
      </c>
      <c r="B17" s="12">
        <f>-(IncomeStatement_Year4!B31-BalanceSheet_Year3!M17)</f>
        <v>-73779.761904761894</v>
      </c>
      <c r="C17" s="12">
        <f>-(IncomeStatement_Year4!C31-B17)</f>
        <v>-75773.809523809512</v>
      </c>
      <c r="D17" s="12">
        <f>-(IncomeStatement_Year4!D31-C17)</f>
        <v>-77767.85714285713</v>
      </c>
      <c r="E17" s="12">
        <f>-(IncomeStatement_Year4!E31-D17)</f>
        <v>-79761.904761904749</v>
      </c>
      <c r="F17" s="12">
        <f>-(IncomeStatement_Year4!F31-E17)</f>
        <v>-81755.952380952367</v>
      </c>
      <c r="G17" s="12">
        <f>-(IncomeStatement_Year4!G31-F17)</f>
        <v>-83749.999999999985</v>
      </c>
      <c r="H17" s="12">
        <f>-(IncomeStatement_Year4!H31-G17)</f>
        <v>-85744.047619047604</v>
      </c>
      <c r="I17" s="12">
        <f>-(IncomeStatement_Year4!I31-H17)</f>
        <v>-87738.095238095222</v>
      </c>
      <c r="J17" s="12">
        <f>-(IncomeStatement_Year4!J31-I17)</f>
        <v>-89732.142857142841</v>
      </c>
      <c r="K17" s="12">
        <f>-(IncomeStatement_Year4!K31-J17)</f>
        <v>-91726.190476190459</v>
      </c>
      <c r="L17" s="12">
        <f>-(IncomeStatement_Year4!L31-K17)</f>
        <v>-93720.238095238077</v>
      </c>
      <c r="M17" s="12">
        <f>-(IncomeStatement_Year4!M31-L17)</f>
        <v>-95505.952380952367</v>
      </c>
    </row>
    <row r="18" spans="1:13" x14ac:dyDescent="0.25">
      <c r="A18" s="4" t="s">
        <v>106</v>
      </c>
      <c r="B18" s="14">
        <f t="shared" ref="B18:M18" si="1">SUM(B15:B17)</f>
        <v>136220.23809523811</v>
      </c>
      <c r="C18" s="14">
        <f t="shared" si="1"/>
        <v>134226.19047619047</v>
      </c>
      <c r="D18" s="14">
        <f t="shared" si="1"/>
        <v>132232.14285714287</v>
      </c>
      <c r="E18" s="14">
        <f t="shared" si="1"/>
        <v>130238.09523809525</v>
      </c>
      <c r="F18" s="14">
        <f t="shared" si="1"/>
        <v>128244.04761904763</v>
      </c>
      <c r="G18" s="14">
        <f t="shared" si="1"/>
        <v>126250.00000000001</v>
      </c>
      <c r="H18" s="14">
        <f t="shared" si="1"/>
        <v>124255.9523809524</v>
      </c>
      <c r="I18" s="14">
        <f t="shared" si="1"/>
        <v>122261.90476190478</v>
      </c>
      <c r="J18" s="14">
        <f t="shared" si="1"/>
        <v>120267.85714285716</v>
      </c>
      <c r="K18" s="14">
        <f t="shared" si="1"/>
        <v>118273.80952380954</v>
      </c>
      <c r="L18" s="14">
        <f t="shared" si="1"/>
        <v>116279.76190476192</v>
      </c>
      <c r="M18" s="14">
        <f t="shared" si="1"/>
        <v>114494.04761904763</v>
      </c>
    </row>
    <row r="20" spans="1:13" x14ac:dyDescent="0.25">
      <c r="A20" s="4" t="s">
        <v>107</v>
      </c>
      <c r="B20" s="9">
        <f t="shared" ref="B20:M20" si="2">B12+B18</f>
        <v>10815584.258449469</v>
      </c>
      <c r="C20" s="9">
        <f t="shared" si="2"/>
        <v>11079778.769242356</v>
      </c>
      <c r="D20" s="9">
        <f t="shared" si="2"/>
        <v>11352593.266634284</v>
      </c>
      <c r="E20" s="9">
        <f t="shared" si="2"/>
        <v>11634327.45331643</v>
      </c>
      <c r="F20" s="9">
        <f t="shared" si="2"/>
        <v>11925296.549517674</v>
      </c>
      <c r="G20" s="9">
        <f t="shared" si="2"/>
        <v>12225832.222386202</v>
      </c>
      <c r="H20" s="9">
        <f t="shared" si="2"/>
        <v>12536283.573498862</v>
      </c>
      <c r="I20" s="9">
        <f t="shared" si="2"/>
        <v>12857018.188189918</v>
      </c>
      <c r="J20" s="9">
        <f t="shared" si="2"/>
        <v>13188423.250627205</v>
      </c>
      <c r="K20" s="9">
        <f t="shared" si="2"/>
        <v>13530906.728815386</v>
      </c>
      <c r="L20" s="9">
        <f t="shared" si="2"/>
        <v>13884898.633973749</v>
      </c>
      <c r="M20" s="9">
        <f t="shared" si="2"/>
        <v>14251060.692354508</v>
      </c>
    </row>
    <row r="22" spans="1:13" x14ac:dyDescent="0.25">
      <c r="A22" s="4" t="s">
        <v>108</v>
      </c>
    </row>
    <row r="23" spans="1:13" x14ac:dyDescent="0.25">
      <c r="A23" t="s">
        <v>109</v>
      </c>
    </row>
    <row r="24" spans="1:13" x14ac:dyDescent="0.25">
      <c r="A24" t="s">
        <v>110</v>
      </c>
      <c r="B24" s="12">
        <f>(IncomeStatement_Year4!B12+SUM(IncomeStatement_Year4!B18:B28)+IncomeStatement_Year4!B30)/2</f>
        <v>454928.76544724056</v>
      </c>
      <c r="C24" s="12">
        <f>(IncomeStatement_Year4!C12+SUM(IncomeStatement_Year4!C18:C28)+IncomeStatement_Year4!C30)/2</f>
        <v>461624.92385003605</v>
      </c>
      <c r="D24" s="12">
        <f>(IncomeStatement_Year4!D12+SUM(IncomeStatement_Year4!D18:D28)+IncomeStatement_Year4!D30)/2</f>
        <v>468535.22988474771</v>
      </c>
      <c r="E24" s="12">
        <f>(IncomeStatement_Year4!E12+SUM(IncomeStatement_Year4!E18:E28)+IncomeStatement_Year4!E30)/2</f>
        <v>475670.28913971613</v>
      </c>
      <c r="F24" s="12">
        <f>(IncomeStatement_Year4!F12+SUM(IncomeStatement_Year4!F18:F28)+IncomeStatement_Year4!F30)/2</f>
        <v>483041.31564207375</v>
      </c>
      <c r="G24" s="12">
        <f>(IncomeStatement_Year4!G12+SUM(IncomeStatement_Year4!G18:G28)+IncomeStatement_Year4!G30)/2</f>
        <v>490660.16820538999</v>
      </c>
      <c r="H24" s="12">
        <f>(IncomeStatement_Year4!H12+SUM(IncomeStatement_Year4!H18:H28)+IncomeStatement_Year4!H30)/2</f>
        <v>498539.38897761866</v>
      </c>
      <c r="I24" s="12">
        <f>(IncomeStatement_Year4!I12+SUM(IncomeStatement_Year4!I18:I28)+IncomeStatement_Year4!I30)/2</f>
        <v>506692.24432339263</v>
      </c>
      <c r="J24" s="12">
        <f>(IncomeStatement_Year4!J12+SUM(IncomeStatement_Year4!J18:J28)+IncomeStatement_Year4!J30)/2</f>
        <v>515132.76818291761</v>
      </c>
      <c r="K24" s="12">
        <f>(IncomeStatement_Year4!K12+SUM(IncomeStatement_Year4!K18:K28)+IncomeStatement_Year4!K30)/2</f>
        <v>523875.80805841502</v>
      </c>
      <c r="L24" s="12">
        <f>(IncomeStatement_Year4!L12+SUM(IncomeStatement_Year4!L18:L28)+IncomeStatement_Year4!L30)/2</f>
        <v>532937.07378831925</v>
      </c>
      <c r="M24" s="12">
        <f>(IncomeStatement_Year4!M12+SUM(IncomeStatement_Year4!M18:M28)+IncomeStatement_Year4!M30)/2</f>
        <v>542333.18927923893</v>
      </c>
    </row>
    <row r="25" spans="1:13" x14ac:dyDescent="0.25">
      <c r="A25" s="4" t="s">
        <v>111</v>
      </c>
      <c r="B25" s="14">
        <f t="shared" ref="B25:M25" si="3">B24</f>
        <v>454928.76544724056</v>
      </c>
      <c r="C25" s="14">
        <f t="shared" si="3"/>
        <v>461624.92385003605</v>
      </c>
      <c r="D25" s="14">
        <f t="shared" si="3"/>
        <v>468535.22988474771</v>
      </c>
      <c r="E25" s="14">
        <f t="shared" si="3"/>
        <v>475670.28913971613</v>
      </c>
      <c r="F25" s="14">
        <f t="shared" si="3"/>
        <v>483041.31564207375</v>
      </c>
      <c r="G25" s="14">
        <f t="shared" si="3"/>
        <v>490660.16820538999</v>
      </c>
      <c r="H25" s="14">
        <f t="shared" si="3"/>
        <v>498539.38897761866</v>
      </c>
      <c r="I25" s="14">
        <f t="shared" si="3"/>
        <v>506692.24432339263</v>
      </c>
      <c r="J25" s="14">
        <f t="shared" si="3"/>
        <v>515132.76818291761</v>
      </c>
      <c r="K25" s="14">
        <f t="shared" si="3"/>
        <v>523875.80805841502</v>
      </c>
      <c r="L25" s="14">
        <f t="shared" si="3"/>
        <v>532937.07378831925</v>
      </c>
      <c r="M25" s="14">
        <f t="shared" si="3"/>
        <v>542333.18927923893</v>
      </c>
    </row>
    <row r="27" spans="1:13" x14ac:dyDescent="0.25">
      <c r="A27" t="s">
        <v>112</v>
      </c>
    </row>
    <row r="28" spans="1:13" x14ac:dyDescent="0.25">
      <c r="A28" t="str">
        <f>LoanModule!C1</f>
        <v>Bank Loan</v>
      </c>
      <c r="B28" s="12">
        <f>LoanModule!F46</f>
        <v>497266.95361556549</v>
      </c>
      <c r="C28" s="12">
        <f>LoanModule!F47</f>
        <v>494515.68692190142</v>
      </c>
      <c r="D28" s="12">
        <f>LoanModule!F48</f>
        <v>491746.0784502796</v>
      </c>
      <c r="E28" s="12">
        <f>LoanModule!F49</f>
        <v>488958.00592218031</v>
      </c>
      <c r="F28" s="12">
        <f>LoanModule!F50</f>
        <v>486151.34624389367</v>
      </c>
      <c r="G28" s="12">
        <f>LoanModule!F51</f>
        <v>483325.97550108511</v>
      </c>
      <c r="H28" s="12">
        <f>LoanModule!F52</f>
        <v>480481.76895332447</v>
      </c>
      <c r="I28" s="12">
        <f>LoanModule!F53</f>
        <v>477618.60102857876</v>
      </c>
      <c r="J28" s="12">
        <f>LoanModule!F54</f>
        <v>474736.34531766811</v>
      </c>
      <c r="K28" s="12">
        <f>LoanModule!F55</f>
        <v>471834.87456868473</v>
      </c>
      <c r="L28" s="12">
        <f>LoanModule!F56</f>
        <v>468914.0606813748</v>
      </c>
      <c r="M28" s="12">
        <f>LoanModule!F57</f>
        <v>465973.77470148279</v>
      </c>
    </row>
    <row r="29" spans="1:13" x14ac:dyDescent="0.25">
      <c r="A29" s="4" t="s">
        <v>113</v>
      </c>
      <c r="B29" s="14">
        <f t="shared" ref="B29:M29" si="4">SUM(B28:B28)</f>
        <v>497266.95361556549</v>
      </c>
      <c r="C29" s="14">
        <f t="shared" si="4"/>
        <v>494515.68692190142</v>
      </c>
      <c r="D29" s="14">
        <f t="shared" si="4"/>
        <v>491746.0784502796</v>
      </c>
      <c r="E29" s="14">
        <f t="shared" si="4"/>
        <v>488958.00592218031</v>
      </c>
      <c r="F29" s="14">
        <f t="shared" si="4"/>
        <v>486151.34624389367</v>
      </c>
      <c r="G29" s="14">
        <f t="shared" si="4"/>
        <v>483325.97550108511</v>
      </c>
      <c r="H29" s="14">
        <f t="shared" si="4"/>
        <v>480481.76895332447</v>
      </c>
      <c r="I29" s="14">
        <f t="shared" si="4"/>
        <v>477618.60102857876</v>
      </c>
      <c r="J29" s="14">
        <f t="shared" si="4"/>
        <v>474736.34531766811</v>
      </c>
      <c r="K29" s="14">
        <f t="shared" si="4"/>
        <v>471834.87456868473</v>
      </c>
      <c r="L29" s="14">
        <f t="shared" si="4"/>
        <v>468914.0606813748</v>
      </c>
      <c r="M29" s="14">
        <f t="shared" si="4"/>
        <v>465973.77470148279</v>
      </c>
    </row>
    <row r="31" spans="1:13" x14ac:dyDescent="0.25">
      <c r="A31" s="4" t="s">
        <v>114</v>
      </c>
      <c r="B31" s="9">
        <f t="shared" ref="B31:M31" si="5">B25+B29</f>
        <v>952195.71906280611</v>
      </c>
      <c r="C31" s="9">
        <f t="shared" si="5"/>
        <v>956140.61077193753</v>
      </c>
      <c r="D31" s="9">
        <f t="shared" si="5"/>
        <v>960281.30833502731</v>
      </c>
      <c r="E31" s="9">
        <f t="shared" si="5"/>
        <v>964628.29506189644</v>
      </c>
      <c r="F31" s="9">
        <f t="shared" si="5"/>
        <v>969192.66188596748</v>
      </c>
      <c r="G31" s="9">
        <f t="shared" si="5"/>
        <v>973986.14370647515</v>
      </c>
      <c r="H31" s="9">
        <f t="shared" si="5"/>
        <v>979021.15793094318</v>
      </c>
      <c r="I31" s="9">
        <f t="shared" si="5"/>
        <v>984310.84535197145</v>
      </c>
      <c r="J31" s="9">
        <f t="shared" si="5"/>
        <v>989869.11350058578</v>
      </c>
      <c r="K31" s="9">
        <f t="shared" si="5"/>
        <v>995710.6826270998</v>
      </c>
      <c r="L31" s="9">
        <f t="shared" si="5"/>
        <v>1001851.134469694</v>
      </c>
      <c r="M31" s="9">
        <f t="shared" si="5"/>
        <v>1008306.9639807218</v>
      </c>
    </row>
    <row r="33" spans="1:13" x14ac:dyDescent="0.25">
      <c r="A33" t="s">
        <v>115</v>
      </c>
    </row>
    <row r="34" spans="1:13" x14ac:dyDescent="0.25">
      <c r="A34" t="s">
        <v>116</v>
      </c>
      <c r="B34" s="12">
        <f>BalanceSheet_Year3!M34</f>
        <v>50000</v>
      </c>
      <c r="C34" s="12">
        <f t="shared" ref="C34:M34" si="6">B34</f>
        <v>50000</v>
      </c>
      <c r="D34" s="12">
        <f t="shared" si="6"/>
        <v>50000</v>
      </c>
      <c r="E34" s="12">
        <f t="shared" si="6"/>
        <v>50000</v>
      </c>
      <c r="F34" s="12">
        <f t="shared" si="6"/>
        <v>50000</v>
      </c>
      <c r="G34" s="12">
        <f t="shared" si="6"/>
        <v>50000</v>
      </c>
      <c r="H34" s="12">
        <f t="shared" si="6"/>
        <v>50000</v>
      </c>
      <c r="I34" s="12">
        <f t="shared" si="6"/>
        <v>50000</v>
      </c>
      <c r="J34" s="12">
        <f t="shared" si="6"/>
        <v>50000</v>
      </c>
      <c r="K34" s="12">
        <f t="shared" si="6"/>
        <v>50000</v>
      </c>
      <c r="L34" s="12">
        <f t="shared" si="6"/>
        <v>50000</v>
      </c>
      <c r="M34" s="12">
        <f t="shared" si="6"/>
        <v>50000</v>
      </c>
    </row>
    <row r="35" spans="1:13" x14ac:dyDescent="0.25">
      <c r="A35" t="s">
        <v>117</v>
      </c>
      <c r="B35" s="12">
        <f>DATA!AL94+BalanceSheet_Year3!M35</f>
        <v>4500000</v>
      </c>
      <c r="C35" s="12">
        <f>DATA!AM94+B35</f>
        <v>4500000</v>
      </c>
      <c r="D35" s="12">
        <f>DATA!AN94+C35</f>
        <v>4500000</v>
      </c>
      <c r="E35" s="12">
        <f>DATA!AO94+D35</f>
        <v>4500000</v>
      </c>
      <c r="F35" s="12">
        <f>DATA!AP94+E35</f>
        <v>4500000</v>
      </c>
      <c r="G35" s="12">
        <f>DATA!AQ94+F35</f>
        <v>4500000</v>
      </c>
      <c r="H35" s="12">
        <f>DATA!AR94+G35</f>
        <v>4500000</v>
      </c>
      <c r="I35" s="12">
        <f>DATA!AS94+H35</f>
        <v>4500000</v>
      </c>
      <c r="J35" s="12">
        <f>DATA!AT94+I35</f>
        <v>4500000</v>
      </c>
      <c r="K35" s="12">
        <f>DATA!AU94+J35</f>
        <v>4500000</v>
      </c>
      <c r="L35" s="12">
        <f>DATA!AV94+K35</f>
        <v>4500000</v>
      </c>
      <c r="M35" s="12">
        <f>DATA!AW94+L35</f>
        <v>4500000</v>
      </c>
    </row>
    <row r="36" spans="1:13" x14ac:dyDescent="0.25">
      <c r="A36" t="s">
        <v>18</v>
      </c>
      <c r="B36" s="12">
        <f>BalanceSheet_Year3!M36+DATA!AL40</f>
        <v>0</v>
      </c>
      <c r="C36" s="12">
        <f>B36+DATA!AM40</f>
        <v>0</v>
      </c>
      <c r="D36" s="12">
        <f>C36+DATA!AN40</f>
        <v>0</v>
      </c>
      <c r="E36" s="12">
        <f>D36+DATA!AO40</f>
        <v>0</v>
      </c>
      <c r="F36" s="12">
        <f>E36+DATA!AP40</f>
        <v>0</v>
      </c>
      <c r="G36" s="12">
        <f>F36+DATA!AQ40</f>
        <v>0</v>
      </c>
      <c r="H36" s="12">
        <f>G36+DATA!AR40</f>
        <v>0</v>
      </c>
      <c r="I36" s="12">
        <f>H36+DATA!AS40</f>
        <v>0</v>
      </c>
      <c r="J36" s="12">
        <f>I36+DATA!AT40</f>
        <v>0</v>
      </c>
      <c r="K36" s="12">
        <f>J36+DATA!AU40</f>
        <v>0</v>
      </c>
      <c r="L36" s="12">
        <f>K36+DATA!AV40</f>
        <v>0</v>
      </c>
      <c r="M36" s="12">
        <f>L36+DATA!AW40</f>
        <v>0</v>
      </c>
    </row>
    <row r="37" spans="1:13" x14ac:dyDescent="0.25">
      <c r="A37" t="s">
        <v>118</v>
      </c>
      <c r="B37" s="12">
        <f>(BalanceSheet_Year3!M37+IncomeStatement_Year4!B38)-B36</f>
        <v>5813388.5393866608</v>
      </c>
      <c r="C37" s="12">
        <f>(B37+IncomeStatement_Year4!C38)-C36</f>
        <v>6073638.1584704174</v>
      </c>
      <c r="D37" s="12">
        <f>(C37+IncomeStatement_Year4!D38)-D36</f>
        <v>6342311.9582992541</v>
      </c>
      <c r="E37" s="12">
        <f>(D37+IncomeStatement_Year4!E38)-E36</f>
        <v>6619699.1582545331</v>
      </c>
      <c r="F37" s="12">
        <f>(E37+IncomeStatement_Year4!F38)-F36</f>
        <v>6906103.8876317069</v>
      </c>
      <c r="G37" s="12">
        <f>(F37+IncomeStatement_Year4!G38)-G36</f>
        <v>7201846.0786797265</v>
      </c>
      <c r="H37" s="12">
        <f>(G37+IncomeStatement_Year4!H38)-H36</f>
        <v>7507262.4155679205</v>
      </c>
      <c r="I37" s="12">
        <f>(H37+IncomeStatement_Year4!I38)-I36</f>
        <v>7822707.3428379474</v>
      </c>
      <c r="J37" s="12">
        <f>(I37+IncomeStatement_Year4!J38)-J36</f>
        <v>8148554.137126619</v>
      </c>
      <c r="K37" s="12">
        <f>(J37+IncomeStatement_Year4!K38)-K36</f>
        <v>8485196.0461882837</v>
      </c>
      <c r="L37" s="12">
        <f>(K37+IncomeStatement_Year4!L38)-L36</f>
        <v>8833047.4995040558</v>
      </c>
      <c r="M37" s="12">
        <f>(L37+IncomeStatement_Year4!M38)-M36</f>
        <v>9192753.7283737846</v>
      </c>
    </row>
    <row r="38" spans="1:13" x14ac:dyDescent="0.25">
      <c r="A38" s="4" t="s">
        <v>119</v>
      </c>
      <c r="B38" s="9">
        <f>SUM(B34:B37)-B36+SUM(BalanceSheet_Year1!C36:N36)+SUM(BalanceSheet_Year2!B36:M36)</f>
        <v>10363388.53938666</v>
      </c>
      <c r="C38" s="9">
        <f>SUM(C34:C37)-C36+SUM(BalanceSheet_Year1!C36:N36)+SUM(BalanceSheet_Year2!B36:M36)+SUM(BalanceSheet_Year4!B36:B36)</f>
        <v>10623638.158470418</v>
      </c>
      <c r="D38" s="9">
        <f>SUM(D34:D37)-D36+SUM(BalanceSheet_Year1!C36:N36)+SUM(BalanceSheet_Year2!B36:M36)+SUM(BalanceSheet_Year4!B36:C36)</f>
        <v>10892311.958299253</v>
      </c>
      <c r="E38" s="9">
        <f>SUM(E34:E37)-E36+SUM(BalanceSheet_Year1!C36:N36)+SUM(BalanceSheet_Year2!B36:M36)+SUM(BalanceSheet_Year4!B36:D36)</f>
        <v>11169699.158254534</v>
      </c>
      <c r="F38" s="9">
        <f>SUM(F34:F37)-F36+SUM(BalanceSheet_Year1!C36:N36)+SUM(BalanceSheet_Year2!B36:M36)+SUM(BalanceSheet_Year4!B36:E36)</f>
        <v>11456103.887631707</v>
      </c>
      <c r="G38" s="9">
        <f>SUM(G34:G37)-G36+SUM(BalanceSheet_Year1!C36:N36)+SUM(BalanceSheet_Year2!B36:M36)+SUM(BalanceSheet_Year4!B36:F36)</f>
        <v>11751846.078679726</v>
      </c>
      <c r="H38" s="9">
        <f>SUM(H34:H37)-H36+SUM(BalanceSheet_Year1!C36:N36)+SUM(BalanceSheet_Year2!B36:M36)+SUM(BalanceSheet_Year4!B36:G36)</f>
        <v>12057262.41556792</v>
      </c>
      <c r="I38" s="9">
        <f>SUM(I34:I37)-I36+SUM(BalanceSheet_Year1!C36:N36)+SUM(BalanceSheet_Year2!B36:M36)+SUM(BalanceSheet_Year4!B36:H36)</f>
        <v>12372707.342837948</v>
      </c>
      <c r="J38" s="9">
        <f>SUM(J34:J37)-J36+SUM(BalanceSheet_Year1!C36:N36)+SUM(BalanceSheet_Year2!B36:M36)+SUM(BalanceSheet_Year4!B36:I36)</f>
        <v>12698554.137126619</v>
      </c>
      <c r="K38" s="9">
        <f>SUM(K34:K37)-K36+SUM(BalanceSheet_Year1!C36:N36)+SUM(BalanceSheet_Year2!B36:M36)+SUM(BalanceSheet_Year4!B36:J36)</f>
        <v>13035196.046188284</v>
      </c>
      <c r="L38" s="9">
        <f>SUM(L34:L37)-L36+SUM(BalanceSheet_Year1!C36:N36)+SUM(BalanceSheet_Year2!B36:M36)+SUM(BalanceSheet_Year4!B36:K36)</f>
        <v>13383047.499504056</v>
      </c>
      <c r="M38" s="9">
        <f>SUM(M34:M37)-M36+SUM(BalanceSheet_Year1!C36:N36)+SUM(BalanceSheet_Year2!B36:M36)+SUM(BalanceSheet_Year4!B36:L36)</f>
        <v>13742753.728373785</v>
      </c>
    </row>
    <row r="40" spans="1:13" x14ac:dyDescent="0.25">
      <c r="A40" s="4" t="s">
        <v>120</v>
      </c>
      <c r="B40" s="9">
        <f t="shared" ref="B40:M40" si="7">B38+B31</f>
        <v>11315584.258449465</v>
      </c>
      <c r="C40" s="9">
        <f t="shared" si="7"/>
        <v>11579778.769242356</v>
      </c>
      <c r="D40" s="9">
        <f t="shared" si="7"/>
        <v>11852593.26663428</v>
      </c>
      <c r="E40" s="9">
        <f t="shared" si="7"/>
        <v>12134327.45331643</v>
      </c>
      <c r="F40" s="9">
        <f t="shared" si="7"/>
        <v>12425296.549517674</v>
      </c>
      <c r="G40" s="9">
        <f t="shared" si="7"/>
        <v>12725832.2223862</v>
      </c>
      <c r="H40" s="9">
        <f t="shared" si="7"/>
        <v>13036283.573498864</v>
      </c>
      <c r="I40" s="9">
        <f t="shared" si="7"/>
        <v>13357018.18818992</v>
      </c>
      <c r="J40" s="9">
        <f t="shared" si="7"/>
        <v>13688423.250627205</v>
      </c>
      <c r="K40" s="9">
        <f t="shared" si="7"/>
        <v>14030906.728815384</v>
      </c>
      <c r="L40" s="9">
        <f t="shared" si="7"/>
        <v>14384898.633973749</v>
      </c>
      <c r="M40" s="9">
        <f t="shared" si="7"/>
        <v>14751060.692354506</v>
      </c>
    </row>
    <row r="41" spans="1:13" x14ac:dyDescent="0.25">
      <c r="B41" s="6">
        <f>B20-B40</f>
        <v>-499999.99999999627</v>
      </c>
      <c r="C41" s="6">
        <f t="shared" ref="C41:M41" si="8">C20-C40</f>
        <v>-500000</v>
      </c>
      <c r="D41" s="6">
        <f t="shared" si="8"/>
        <v>-499999.99999999627</v>
      </c>
      <c r="E41" s="6">
        <f t="shared" si="8"/>
        <v>-500000</v>
      </c>
      <c r="F41" s="6">
        <f t="shared" si="8"/>
        <v>-500000</v>
      </c>
      <c r="G41" s="6">
        <f t="shared" si="8"/>
        <v>-499999.99999999814</v>
      </c>
      <c r="H41" s="6">
        <f t="shared" si="8"/>
        <v>-500000.00000000186</v>
      </c>
      <c r="I41" s="6">
        <f t="shared" si="8"/>
        <v>-500000.00000000186</v>
      </c>
      <c r="J41" s="6">
        <f t="shared" si="8"/>
        <v>-500000</v>
      </c>
      <c r="K41" s="6">
        <f t="shared" si="8"/>
        <v>-499999.99999999814</v>
      </c>
      <c r="L41" s="6">
        <f t="shared" si="8"/>
        <v>-500000</v>
      </c>
      <c r="M41" s="6">
        <f t="shared" si="8"/>
        <v>-499999.99999999814</v>
      </c>
    </row>
    <row r="45" spans="1:13" x14ac:dyDescent="0.25">
      <c r="A45" t="s">
        <v>79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opLeftCell="A21" workbookViewId="0">
      <selection activeCell="E38" sqref="E38"/>
    </sheetView>
  </sheetViews>
  <sheetFormatPr defaultColWidth="8.85546875" defaultRowHeight="15" x14ac:dyDescent="0.25"/>
  <cols>
    <col min="1" max="1" width="34.140625" bestFit="1" customWidth="1"/>
    <col min="2" max="12" width="11.7109375" bestFit="1" customWidth="1"/>
    <col min="13" max="13" width="11.85546875" bestFit="1" customWidth="1"/>
  </cols>
  <sheetData>
    <row r="1" spans="1:13" x14ac:dyDescent="0.25">
      <c r="A1" t="str">
        <f>DATA!B1</f>
        <v>Example Manufacturing Company</v>
      </c>
    </row>
    <row r="2" spans="1:13" x14ac:dyDescent="0.25">
      <c r="A2" t="s">
        <v>96</v>
      </c>
    </row>
    <row r="3" spans="1:13" x14ac:dyDescent="0.25">
      <c r="A3" t="s">
        <v>138</v>
      </c>
    </row>
    <row r="5" spans="1:13" x14ac:dyDescent="0.25">
      <c r="A5" t="s">
        <v>97</v>
      </c>
      <c r="B5">
        <v>49</v>
      </c>
      <c r="C5">
        <v>50</v>
      </c>
      <c r="D5">
        <v>51</v>
      </c>
      <c r="E5">
        <v>52</v>
      </c>
      <c r="F5">
        <v>53</v>
      </c>
      <c r="G5">
        <v>54</v>
      </c>
      <c r="H5">
        <v>55</v>
      </c>
      <c r="I5">
        <v>56</v>
      </c>
      <c r="J5">
        <v>57</v>
      </c>
      <c r="K5">
        <v>58</v>
      </c>
      <c r="L5">
        <v>59</v>
      </c>
      <c r="M5">
        <v>60</v>
      </c>
    </row>
    <row r="7" spans="1:13" x14ac:dyDescent="0.25">
      <c r="A7" t="s">
        <v>98</v>
      </c>
    </row>
    <row r="8" spans="1:13" x14ac:dyDescent="0.25">
      <c r="A8" t="s">
        <v>99</v>
      </c>
    </row>
    <row r="9" spans="1:13" x14ac:dyDescent="0.25">
      <c r="A9" t="s">
        <v>100</v>
      </c>
      <c r="B9" s="12">
        <f>CashFlowStatement_Year5!B7+CashFlowStatement_Year5!B37</f>
        <v>14608666.426164718</v>
      </c>
      <c r="C9" s="12">
        <f>CashFlowStatement_Year5!C7+CashFlowStatement_Year5!C37</f>
        <v>14658915.545651052</v>
      </c>
      <c r="D9" s="12">
        <f>CashFlowStatement_Year5!D7+CashFlowStatement_Year5!D37</f>
        <v>14729991.286356337</v>
      </c>
      <c r="E9" s="12">
        <f>CashFlowStatement_Year5!E7+CashFlowStatement_Year5!E37</f>
        <v>15795490.390889931</v>
      </c>
      <c r="F9" s="12">
        <f>CashFlowStatement_Year5!F7+CashFlowStatement_Year5!F37</f>
        <v>15924793.360103333</v>
      </c>
      <c r="G9" s="12">
        <f>CashFlowStatement_Year5!G7+CashFlowStatement_Year5!G37</f>
        <v>16091717.115311459</v>
      </c>
      <c r="H9" s="12">
        <f>CashFlowStatement_Year5!H7+CashFlowStatement_Year5!H37</f>
        <v>16284238.968004828</v>
      </c>
      <c r="I9" s="12">
        <f>CashFlowStatement_Year5!I7+CashFlowStatement_Year5!I37</f>
        <v>17469464.917465806</v>
      </c>
      <c r="J9" s="12">
        <f>CashFlowStatement_Year5!J7+CashFlowStatement_Year5!J37</f>
        <v>17737376.796272498</v>
      </c>
      <c r="K9" s="12">
        <f>CashFlowStatement_Year5!K7+CashFlowStatement_Year5!K37</f>
        <v>18035215.983567137</v>
      </c>
      <c r="L9" s="12">
        <f>CashFlowStatement_Year5!L7+CashFlowStatement_Year5!L37</f>
        <v>18371303.091796778</v>
      </c>
      <c r="M9" s="12">
        <f>CashFlowStatement_Year5!M7+CashFlowStatement_Year5!M37</f>
        <v>19713007.363162052</v>
      </c>
    </row>
    <row r="10" spans="1:13" x14ac:dyDescent="0.25">
      <c r="A10" t="s">
        <v>101</v>
      </c>
      <c r="B10" s="12">
        <f>IncomeStatement_Year5!B8-CashFlowStatement_Year5!B10+BalanceSheet_Year4!M10</f>
        <v>0</v>
      </c>
      <c r="C10" s="12">
        <f>IncomeStatement_Year5!C8-CashFlowStatement_Year5!C10+B10</f>
        <v>0</v>
      </c>
      <c r="D10" s="12">
        <f>IncomeStatement_Year5!D8-CashFlowStatement_Year5!D10+C10</f>
        <v>0</v>
      </c>
      <c r="E10" s="12">
        <f>IncomeStatement_Year5!E8-CashFlowStatement_Year5!E10+D10</f>
        <v>0</v>
      </c>
      <c r="F10" s="12">
        <f>IncomeStatement_Year5!F8-CashFlowStatement_Year5!F10+E10</f>
        <v>0</v>
      </c>
      <c r="G10" s="12">
        <f>IncomeStatement_Year5!G8-CashFlowStatement_Year5!G10+F10</f>
        <v>0</v>
      </c>
      <c r="H10" s="12">
        <f>IncomeStatement_Year5!H8-CashFlowStatement_Year5!H10+G10</f>
        <v>0</v>
      </c>
      <c r="I10" s="12">
        <f>IncomeStatement_Year5!I8-CashFlowStatement_Year5!I10+H10</f>
        <v>0</v>
      </c>
      <c r="J10" s="12">
        <f>IncomeStatement_Year5!J8-CashFlowStatement_Year5!J10+I10</f>
        <v>0</v>
      </c>
      <c r="K10" s="12">
        <f>IncomeStatement_Year5!K8-CashFlowStatement_Year5!K10+J10</f>
        <v>0</v>
      </c>
      <c r="L10" s="12">
        <f>IncomeStatement_Year5!L8-CashFlowStatement_Year5!L10+K10</f>
        <v>0</v>
      </c>
      <c r="M10" s="12">
        <f>IncomeStatement_Year5!M8-CashFlowStatement_Year5!M10+L10</f>
        <v>0</v>
      </c>
    </row>
    <row r="11" spans="1:13" x14ac:dyDescent="0.25">
      <c r="A11" t="s">
        <v>102</v>
      </c>
      <c r="B11" s="12">
        <f>'Inventory Module'!AX26</f>
        <v>-114085.291804066</v>
      </c>
      <c r="C11" s="12">
        <f>'Inventory Module'!AY26</f>
        <v>206624.60917553963</v>
      </c>
      <c r="D11" s="12">
        <f>'Inventory Module'!AZ26</f>
        <v>519984.85727657884</v>
      </c>
      <c r="E11" s="12">
        <f>'Inventory Module'!BA26</f>
        <v>-147039.22020497543</v>
      </c>
      <c r="F11" s="12">
        <f>'Inventory Module'!BB26</f>
        <v>136765.39453554034</v>
      </c>
      <c r="G11" s="12">
        <f>'Inventory Module'!BC26</f>
        <v>398208.6785435949</v>
      </c>
      <c r="H11" s="12">
        <f>'Inventory Module'!BD26</f>
        <v>649975.65127097431</v>
      </c>
      <c r="I11" s="12">
        <f>'Inventory Module'!BE26</f>
        <v>-74339.740451893405</v>
      </c>
      <c r="J11" s="12">
        <f>'Inventory Module'!BF26</f>
        <v>136020.55266703016</v>
      </c>
      <c r="K11" s="12">
        <f>'Inventory Module'!BG26</f>
        <v>334597.43651900854</v>
      </c>
      <c r="L11" s="12">
        <f>'Inventory Module'!BH26</f>
        <v>513897.61046764645</v>
      </c>
      <c r="M11" s="12">
        <f>'Inventory Module'!BI26</f>
        <v>-292573.03928483091</v>
      </c>
    </row>
    <row r="12" spans="1:13" x14ac:dyDescent="0.25">
      <c r="A12" s="4" t="s">
        <v>103</v>
      </c>
      <c r="B12" s="14">
        <f t="shared" ref="B12:M12" si="0">SUM(B9:B11)</f>
        <v>14494581.134360652</v>
      </c>
      <c r="C12" s="14">
        <f t="shared" si="0"/>
        <v>14865540.154826593</v>
      </c>
      <c r="D12" s="14">
        <f t="shared" si="0"/>
        <v>15249976.143632917</v>
      </c>
      <c r="E12" s="14">
        <f t="shared" si="0"/>
        <v>15648451.170684956</v>
      </c>
      <c r="F12" s="14">
        <f t="shared" si="0"/>
        <v>16061558.754638873</v>
      </c>
      <c r="G12" s="14">
        <f t="shared" si="0"/>
        <v>16489925.793855054</v>
      </c>
      <c r="H12" s="14">
        <f t="shared" si="0"/>
        <v>16934214.619275801</v>
      </c>
      <c r="I12" s="14">
        <f t="shared" si="0"/>
        <v>17395125.177013911</v>
      </c>
      <c r="J12" s="14">
        <f t="shared" si="0"/>
        <v>17873397.348939527</v>
      </c>
      <c r="K12" s="14">
        <f t="shared" si="0"/>
        <v>18369813.420086145</v>
      </c>
      <c r="L12" s="14">
        <f t="shared" si="0"/>
        <v>18885200.702264424</v>
      </c>
      <c r="M12" s="14">
        <f t="shared" si="0"/>
        <v>19420434.323877223</v>
      </c>
    </row>
    <row r="14" spans="1:13" x14ac:dyDescent="0.25">
      <c r="A14" t="s">
        <v>104</v>
      </c>
    </row>
    <row r="15" spans="1:13" x14ac:dyDescent="0.25">
      <c r="A15" t="s">
        <v>10</v>
      </c>
      <c r="B15" s="12">
        <f>IF(B5=DATA!E19,DATA!B19,0)+BalanceSheet_Year4!M15</f>
        <v>200000</v>
      </c>
      <c r="C15" s="12">
        <f>IF(C5=DATA!E19,DATA!B19,0)+B15</f>
        <v>200000</v>
      </c>
      <c r="D15" s="12">
        <f>IF(D5=DATA!E19,DATA!B19,0)+C15</f>
        <v>200000</v>
      </c>
      <c r="E15" s="12">
        <f>IF(E5=DATA!E19,DATA!B19,0)+D15</f>
        <v>200000</v>
      </c>
      <c r="F15" s="12">
        <f>IF(F5=DATA!E19,DATA!B19,0)+E15</f>
        <v>200000</v>
      </c>
      <c r="G15" s="12">
        <f>IF(G5=DATA!E19,DATA!B19,0)+F15</f>
        <v>200000</v>
      </c>
      <c r="H15" s="12">
        <f>IF(H5=DATA!E19,DATA!B19,0)+G15</f>
        <v>200000</v>
      </c>
      <c r="I15" s="12">
        <f>IF(I5=DATA!E19,DATA!B19,0)+H15</f>
        <v>200000</v>
      </c>
      <c r="J15" s="12">
        <f>IF(J5=DATA!E19,DATA!B19,0)+I15</f>
        <v>200000</v>
      </c>
      <c r="K15" s="12">
        <f>IF(K5=DATA!E19,DATA!B19,0)+J15</f>
        <v>200000</v>
      </c>
      <c r="L15" s="12">
        <f>IF(L5=DATA!E19,DATA!B19,0)+K15</f>
        <v>200000</v>
      </c>
      <c r="M15" s="12">
        <f>IF(M5=DATA!E19,DATA!B19,0)+L15</f>
        <v>200000</v>
      </c>
    </row>
    <row r="16" spans="1:13" x14ac:dyDescent="0.25">
      <c r="A16" t="s">
        <v>15</v>
      </c>
      <c r="B16" s="12">
        <f>IF(B5=DATA!E22,DATA!B22,0)+BalanceSheet_Year4!M16</f>
        <v>10000</v>
      </c>
      <c r="C16" s="12">
        <f>IF(C5=DATA!E22,DATA!B22,0)+B16</f>
        <v>10000</v>
      </c>
      <c r="D16" s="12">
        <f>IF(D5=DATA!E22,DATA!B22,0)+C16</f>
        <v>10000</v>
      </c>
      <c r="E16" s="12">
        <f>IF(E5=DATA!E22,DATA!B22,0)+D16</f>
        <v>10000</v>
      </c>
      <c r="F16" s="12">
        <f>IF(F5=DATA!E22,DATA!B22,0)+E16</f>
        <v>10000</v>
      </c>
      <c r="G16" s="12">
        <f>IF(G5=DATA!E22,DATA!B22,0)+F16</f>
        <v>10000</v>
      </c>
      <c r="H16" s="12">
        <f>IF(H5=DATA!E22,DATA!B22,0)+G16</f>
        <v>10000</v>
      </c>
      <c r="I16" s="12">
        <f>IF(I5=DATA!E22,DATA!B22,0)+H16</f>
        <v>10000</v>
      </c>
      <c r="J16" s="12">
        <f>IF(J5=DATA!E22,DATA!B22,0)+I16</f>
        <v>10000</v>
      </c>
      <c r="K16" s="12">
        <f>IF(K5=DATA!E22,DATA!B22,0)+J16</f>
        <v>10000</v>
      </c>
      <c r="L16" s="12">
        <f>IF(L5=DATA!E22,DATA!B22,0)+K16</f>
        <v>10000</v>
      </c>
      <c r="M16" s="12">
        <f>IF(M5=DATA!E22,DATA!B22,0)+L16</f>
        <v>10000</v>
      </c>
    </row>
    <row r="17" spans="1:13" x14ac:dyDescent="0.25">
      <c r="A17" t="s">
        <v>105</v>
      </c>
      <c r="B17" s="12">
        <f>-(IncomeStatement_Year5!B31-BalanceSheet_Year4!M17)</f>
        <v>-97291.666666666657</v>
      </c>
      <c r="C17" s="12">
        <f>-(IncomeStatement_Year5!C31-B17)</f>
        <v>-99077.380952380947</v>
      </c>
      <c r="D17" s="12">
        <f>-(IncomeStatement_Year5!D31-C17)</f>
        <v>-100863.09523809524</v>
      </c>
      <c r="E17" s="12">
        <f>-(IncomeStatement_Year5!E31-D17)</f>
        <v>-102648.80952380953</v>
      </c>
      <c r="F17" s="12">
        <f>-(IncomeStatement_Year5!F31-E17)</f>
        <v>-104434.52380952382</v>
      </c>
      <c r="G17" s="12">
        <f>-(IncomeStatement_Year5!G31-F17)</f>
        <v>-106220.23809523811</v>
      </c>
      <c r="H17" s="12">
        <f>-(IncomeStatement_Year5!H31-G17)</f>
        <v>-108005.9523809524</v>
      </c>
      <c r="I17" s="12">
        <f>-(IncomeStatement_Year5!I31-H17)</f>
        <v>-109791.66666666669</v>
      </c>
      <c r="J17" s="12">
        <f>-(IncomeStatement_Year5!J31-I17)</f>
        <v>-111577.38095238098</v>
      </c>
      <c r="K17" s="12">
        <f>-(IncomeStatement_Year5!K31-J17)</f>
        <v>-113363.09523809527</v>
      </c>
      <c r="L17" s="12">
        <f>-(IncomeStatement_Year5!L31-K17)</f>
        <v>-115148.80952380956</v>
      </c>
      <c r="M17" s="12">
        <f>-(IncomeStatement_Year5!M31-L17)</f>
        <v>-116934.52380952385</v>
      </c>
    </row>
    <row r="18" spans="1:13" x14ac:dyDescent="0.25">
      <c r="A18" s="4" t="s">
        <v>106</v>
      </c>
      <c r="B18" s="14">
        <f t="shared" ref="B18:M18" si="1">SUM(B15:B17)</f>
        <v>112708.33333333334</v>
      </c>
      <c r="C18" s="14">
        <f t="shared" si="1"/>
        <v>110922.61904761905</v>
      </c>
      <c r="D18" s="14">
        <f t="shared" si="1"/>
        <v>109136.90476190476</v>
      </c>
      <c r="E18" s="14">
        <f t="shared" si="1"/>
        <v>107351.19047619047</v>
      </c>
      <c r="F18" s="14">
        <f t="shared" si="1"/>
        <v>105565.47619047618</v>
      </c>
      <c r="G18" s="14">
        <f t="shared" si="1"/>
        <v>103779.76190476189</v>
      </c>
      <c r="H18" s="14">
        <f t="shared" si="1"/>
        <v>101994.0476190476</v>
      </c>
      <c r="I18" s="14">
        <f t="shared" si="1"/>
        <v>100208.33333333331</v>
      </c>
      <c r="J18" s="14">
        <f t="shared" si="1"/>
        <v>98422.619047619024</v>
      </c>
      <c r="K18" s="14">
        <f t="shared" si="1"/>
        <v>96636.904761904734</v>
      </c>
      <c r="L18" s="14">
        <f t="shared" si="1"/>
        <v>94851.190476190444</v>
      </c>
      <c r="M18" s="14">
        <f t="shared" si="1"/>
        <v>93065.476190476154</v>
      </c>
    </row>
    <row r="20" spans="1:13" x14ac:dyDescent="0.25">
      <c r="A20" s="4" t="s">
        <v>107</v>
      </c>
      <c r="B20" s="9">
        <f t="shared" ref="B20:M20" si="2">B12+B18</f>
        <v>14607289.467693986</v>
      </c>
      <c r="C20" s="9">
        <f t="shared" si="2"/>
        <v>14976462.773874212</v>
      </c>
      <c r="D20" s="9">
        <f t="shared" si="2"/>
        <v>15359113.048394822</v>
      </c>
      <c r="E20" s="9">
        <f t="shared" si="2"/>
        <v>15755802.361161146</v>
      </c>
      <c r="F20" s="9">
        <f t="shared" si="2"/>
        <v>16167124.230829349</v>
      </c>
      <c r="G20" s="9">
        <f t="shared" si="2"/>
        <v>16593705.555759815</v>
      </c>
      <c r="H20" s="9">
        <f t="shared" si="2"/>
        <v>17036208.666894849</v>
      </c>
      <c r="I20" s="9">
        <f t="shared" si="2"/>
        <v>17495333.510347243</v>
      </c>
      <c r="J20" s="9">
        <f t="shared" si="2"/>
        <v>17971819.967987146</v>
      </c>
      <c r="K20" s="9">
        <f t="shared" si="2"/>
        <v>18466450.324848048</v>
      </c>
      <c r="L20" s="9">
        <f t="shared" si="2"/>
        <v>18980051.892740615</v>
      </c>
      <c r="M20" s="9">
        <f t="shared" si="2"/>
        <v>19513499.8000677</v>
      </c>
    </row>
    <row r="22" spans="1:13" x14ac:dyDescent="0.25">
      <c r="A22" s="4" t="s">
        <v>108</v>
      </c>
    </row>
    <row r="23" spans="1:13" x14ac:dyDescent="0.25">
      <c r="A23" t="s">
        <v>109</v>
      </c>
    </row>
    <row r="24" spans="1:13" x14ac:dyDescent="0.25">
      <c r="A24" t="s">
        <v>110</v>
      </c>
      <c r="B24" s="12">
        <f>(IncomeStatement_Year5!B12+SUM(IncomeStatement_Year5!B18:B28)+IncomeStatement_Year5!B30)/2</f>
        <v>552081.74737611075</v>
      </c>
      <c r="C24" s="12">
        <f>(IncomeStatement_Year5!C12+SUM(IncomeStatement_Year5!C18:C28)+IncomeStatement_Year5!C30)/2</f>
        <v>562201.36806203565</v>
      </c>
      <c r="D24" s="12">
        <f>(IncomeStatement_Year5!D12+SUM(IncomeStatement_Year5!D18:D28)+IncomeStatement_Year5!D30)/2</f>
        <v>572711.76019101485</v>
      </c>
      <c r="E24" s="12">
        <f>(IncomeStatement_Year5!E12+SUM(IncomeStatement_Year5!E18:E28)+IncomeStatement_Year5!E30)/2</f>
        <v>583633.78696927603</v>
      </c>
      <c r="F24" s="12">
        <f>(IncomeStatement_Year5!F12+SUM(IncomeStatement_Year5!F18:F28)+IncomeStatement_Year5!F30)/2</f>
        <v>594989.53541409969</v>
      </c>
      <c r="G24" s="12">
        <f>(IncomeStatement_Year5!G12+SUM(IncomeStatement_Year5!G18:G28)+IncomeStatement_Year5!G30)/2</f>
        <v>606802.39003310003</v>
      </c>
      <c r="H24" s="12">
        <f>(IncomeStatement_Year5!H12+SUM(IncomeStatement_Year5!H18:H28)+IncomeStatement_Year5!H30)/2</f>
        <v>619097.11098183226</v>
      </c>
      <c r="I24" s="12">
        <f>(IncomeStatement_Year5!I12+SUM(IncomeStatement_Year5!I18:I28)+IncomeStatement_Year5!I30)/2</f>
        <v>631899.91697340761</v>
      </c>
      <c r="J24" s="12">
        <f>(IncomeStatement_Year5!J12+SUM(IncomeStatement_Year5!J18:J28)+IncomeStatement_Year5!J30)/2</f>
        <v>645238.57323062583</v>
      </c>
      <c r="K24" s="12">
        <f>(IncomeStatement_Year5!K12+SUM(IncomeStatement_Year5!K18:K28)+IncomeStatement_Year5!K30)/2</f>
        <v>659142.4847889517</v>
      </c>
      <c r="L24" s="12">
        <f>(IncomeStatement_Year5!L12+SUM(IncomeStatement_Year5!L18:L28)+IncomeStatement_Year5!L30)/2</f>
        <v>673642.79547762056</v>
      </c>
      <c r="M24" s="12">
        <f>(IncomeStatement_Year5!M12+SUM(IncomeStatement_Year5!M18:M28)+IncomeStatement_Year5!M30)/2</f>
        <v>688772.49292626034</v>
      </c>
    </row>
    <row r="25" spans="1:13" x14ac:dyDescent="0.25">
      <c r="A25" s="4" t="s">
        <v>111</v>
      </c>
      <c r="B25" s="14">
        <f t="shared" ref="B25:M25" si="3">B24</f>
        <v>552081.74737611075</v>
      </c>
      <c r="C25" s="14">
        <f t="shared" si="3"/>
        <v>562201.36806203565</v>
      </c>
      <c r="D25" s="14">
        <f t="shared" si="3"/>
        <v>572711.76019101485</v>
      </c>
      <c r="E25" s="14">
        <f t="shared" si="3"/>
        <v>583633.78696927603</v>
      </c>
      <c r="F25" s="14">
        <f t="shared" si="3"/>
        <v>594989.53541409969</v>
      </c>
      <c r="G25" s="14">
        <f t="shared" si="3"/>
        <v>606802.39003310003</v>
      </c>
      <c r="H25" s="14">
        <f t="shared" si="3"/>
        <v>619097.11098183226</v>
      </c>
      <c r="I25" s="14">
        <f t="shared" si="3"/>
        <v>631899.91697340761</v>
      </c>
      <c r="J25" s="14">
        <f t="shared" si="3"/>
        <v>645238.57323062583</v>
      </c>
      <c r="K25" s="14">
        <f t="shared" si="3"/>
        <v>659142.4847889517</v>
      </c>
      <c r="L25" s="14">
        <f t="shared" si="3"/>
        <v>673642.79547762056</v>
      </c>
      <c r="M25" s="14">
        <f t="shared" si="3"/>
        <v>688772.49292626034</v>
      </c>
    </row>
    <row r="27" spans="1:13" x14ac:dyDescent="0.25">
      <c r="A27" t="s">
        <v>112</v>
      </c>
    </row>
    <row r="28" spans="1:13" x14ac:dyDescent="0.25">
      <c r="A28" t="str">
        <f>LoanModule!C1</f>
        <v>Bank Loan</v>
      </c>
      <c r="B28" s="12">
        <f>LoanModule!F58</f>
        <v>463013.88681505818</v>
      </c>
      <c r="C28" s="12">
        <f>LoanModule!F59</f>
        <v>460034.26634272403</v>
      </c>
      <c r="D28" s="12">
        <f>LoanModule!F60</f>
        <v>457034.7817339077</v>
      </c>
      <c r="E28" s="12">
        <f>LoanModule!F61</f>
        <v>454015.30056103255</v>
      </c>
      <c r="F28" s="12">
        <f>LoanModule!F62</f>
        <v>450975.68951367156</v>
      </c>
      <c r="G28" s="12">
        <f>LoanModule!F63</f>
        <v>447915.8143926615</v>
      </c>
      <c r="H28" s="12">
        <f>LoanModule!F64</f>
        <v>444835.54010417807</v>
      </c>
      <c r="I28" s="12">
        <f>LoanModule!F65</f>
        <v>441734.73065377143</v>
      </c>
      <c r="J28" s="12">
        <f>LoanModule!F66</f>
        <v>438613.24914036208</v>
      </c>
      <c r="K28" s="12">
        <f>LoanModule!F67</f>
        <v>435470.95775019663</v>
      </c>
      <c r="L28" s="12">
        <f>LoanModule!F68</f>
        <v>432307.7177507634</v>
      </c>
      <c r="M28" s="12">
        <f>LoanModule!F69</f>
        <v>429123.38948466734</v>
      </c>
    </row>
    <row r="29" spans="1:13" x14ac:dyDescent="0.25">
      <c r="A29" s="4" t="s">
        <v>113</v>
      </c>
      <c r="B29" s="14">
        <f t="shared" ref="B29:M29" si="4">SUM(B28:B28)</f>
        <v>463013.88681505818</v>
      </c>
      <c r="C29" s="14">
        <f t="shared" si="4"/>
        <v>460034.26634272403</v>
      </c>
      <c r="D29" s="14">
        <f t="shared" si="4"/>
        <v>457034.7817339077</v>
      </c>
      <c r="E29" s="14">
        <f t="shared" si="4"/>
        <v>454015.30056103255</v>
      </c>
      <c r="F29" s="14">
        <f t="shared" si="4"/>
        <v>450975.68951367156</v>
      </c>
      <c r="G29" s="14">
        <f t="shared" si="4"/>
        <v>447915.8143926615</v>
      </c>
      <c r="H29" s="14">
        <f t="shared" si="4"/>
        <v>444835.54010417807</v>
      </c>
      <c r="I29" s="14">
        <f t="shared" si="4"/>
        <v>441734.73065377143</v>
      </c>
      <c r="J29" s="14">
        <f t="shared" si="4"/>
        <v>438613.24914036208</v>
      </c>
      <c r="K29" s="14">
        <f t="shared" si="4"/>
        <v>435470.95775019663</v>
      </c>
      <c r="L29" s="14">
        <f t="shared" si="4"/>
        <v>432307.7177507634</v>
      </c>
      <c r="M29" s="14">
        <f t="shared" si="4"/>
        <v>429123.38948466734</v>
      </c>
    </row>
    <row r="31" spans="1:13" x14ac:dyDescent="0.25">
      <c r="A31" s="4" t="s">
        <v>114</v>
      </c>
      <c r="B31" s="9">
        <f t="shared" ref="B31:M31" si="5">B25+B29</f>
        <v>1015095.6341911689</v>
      </c>
      <c r="C31" s="9">
        <f t="shared" si="5"/>
        <v>1022235.6344047596</v>
      </c>
      <c r="D31" s="9">
        <f t="shared" si="5"/>
        <v>1029746.5419249225</v>
      </c>
      <c r="E31" s="9">
        <f t="shared" si="5"/>
        <v>1037649.0875303086</v>
      </c>
      <c r="F31" s="9">
        <f t="shared" si="5"/>
        <v>1045965.2249277713</v>
      </c>
      <c r="G31" s="9">
        <f t="shared" si="5"/>
        <v>1054718.2044257615</v>
      </c>
      <c r="H31" s="9">
        <f t="shared" si="5"/>
        <v>1063932.6510860103</v>
      </c>
      <c r="I31" s="9">
        <f t="shared" si="5"/>
        <v>1073634.647627179</v>
      </c>
      <c r="J31" s="9">
        <f t="shared" si="5"/>
        <v>1083851.8223709879</v>
      </c>
      <c r="K31" s="9">
        <f t="shared" si="5"/>
        <v>1094613.4425391483</v>
      </c>
      <c r="L31" s="9">
        <f t="shared" si="5"/>
        <v>1105950.5132283838</v>
      </c>
      <c r="M31" s="9">
        <f t="shared" si="5"/>
        <v>1117895.8824109277</v>
      </c>
    </row>
    <row r="33" spans="1:13" x14ac:dyDescent="0.25">
      <c r="A33" t="s">
        <v>115</v>
      </c>
    </row>
    <row r="34" spans="1:13" x14ac:dyDescent="0.25">
      <c r="A34" t="s">
        <v>116</v>
      </c>
      <c r="B34" s="12">
        <f>BalanceSheet_Year4!M34</f>
        <v>50000</v>
      </c>
      <c r="C34" s="12">
        <f t="shared" ref="C34:M34" si="6">B34</f>
        <v>50000</v>
      </c>
      <c r="D34" s="12">
        <f t="shared" si="6"/>
        <v>50000</v>
      </c>
      <c r="E34" s="12">
        <f t="shared" si="6"/>
        <v>50000</v>
      </c>
      <c r="F34" s="12">
        <f t="shared" si="6"/>
        <v>50000</v>
      </c>
      <c r="G34" s="12">
        <f t="shared" si="6"/>
        <v>50000</v>
      </c>
      <c r="H34" s="12">
        <f t="shared" si="6"/>
        <v>50000</v>
      </c>
      <c r="I34" s="12">
        <f t="shared" si="6"/>
        <v>50000</v>
      </c>
      <c r="J34" s="12">
        <f t="shared" si="6"/>
        <v>50000</v>
      </c>
      <c r="K34" s="12">
        <f t="shared" si="6"/>
        <v>50000</v>
      </c>
      <c r="L34" s="12">
        <f t="shared" si="6"/>
        <v>50000</v>
      </c>
      <c r="M34" s="12">
        <f t="shared" si="6"/>
        <v>50000</v>
      </c>
    </row>
    <row r="35" spans="1:13" x14ac:dyDescent="0.25">
      <c r="A35" t="s">
        <v>117</v>
      </c>
      <c r="B35" s="12">
        <f>DATA!AX94+BalanceSheet_Year4!M35</f>
        <v>4500000</v>
      </c>
      <c r="C35" s="12">
        <f>DATA!AY94+B35</f>
        <v>4500000</v>
      </c>
      <c r="D35" s="12">
        <f>DATA!AZ94+C35</f>
        <v>4500000</v>
      </c>
      <c r="E35" s="12">
        <f>DATA!BA94+D35</f>
        <v>4500000</v>
      </c>
      <c r="F35" s="12">
        <f>DATA!BB94+E35</f>
        <v>4500000</v>
      </c>
      <c r="G35" s="12">
        <f>DATA!BC94+F35</f>
        <v>4500000</v>
      </c>
      <c r="H35" s="12">
        <f>DATA!BD94+G35</f>
        <v>4500000</v>
      </c>
      <c r="I35" s="12">
        <f>DATA!BE94+H35</f>
        <v>4500000</v>
      </c>
      <c r="J35" s="12">
        <f>DATA!BF94+I35</f>
        <v>4500000</v>
      </c>
      <c r="K35" s="12">
        <f>DATA!BG94+J35</f>
        <v>4500000</v>
      </c>
      <c r="L35" s="12">
        <f>DATA!BH94+K35</f>
        <v>4500000</v>
      </c>
      <c r="M35" s="12">
        <f>DATA!BI94+L35</f>
        <v>4500000</v>
      </c>
    </row>
    <row r="36" spans="1:13" x14ac:dyDescent="0.25">
      <c r="A36" t="s">
        <v>18</v>
      </c>
      <c r="B36" s="12">
        <f>BalanceSheet_Year4!M36+DATA!AX40</f>
        <v>0</v>
      </c>
      <c r="C36" s="12">
        <f>B36+DATA!AY40</f>
        <v>0</v>
      </c>
      <c r="D36" s="12">
        <f>C36+DATA!AZ40</f>
        <v>0</v>
      </c>
      <c r="E36" s="12">
        <f>D36+DATA!BA40</f>
        <v>0</v>
      </c>
      <c r="F36" s="12">
        <f>E36+DATA!BB40</f>
        <v>0</v>
      </c>
      <c r="G36" s="12">
        <f>F36+DATA!BC40</f>
        <v>0</v>
      </c>
      <c r="H36" s="12">
        <f>G36+DATA!BD40</f>
        <v>0</v>
      </c>
      <c r="I36" s="12">
        <f>H36+DATA!BE40</f>
        <v>0</v>
      </c>
      <c r="J36" s="12">
        <f>I36+DATA!BF40</f>
        <v>0</v>
      </c>
      <c r="K36" s="12">
        <f>J36+DATA!BG40</f>
        <v>0</v>
      </c>
      <c r="L36" s="12">
        <f>K36+DATA!BH40</f>
        <v>0</v>
      </c>
      <c r="M36" s="12">
        <f>L36+DATA!BI40</f>
        <v>0</v>
      </c>
    </row>
    <row r="37" spans="1:13" x14ac:dyDescent="0.25">
      <c r="A37" t="s">
        <v>118</v>
      </c>
      <c r="B37" s="12">
        <f>(BalanceSheet_Year4!M37+IncomeStatement_Year5!B38)-B36</f>
        <v>9542193.833502816</v>
      </c>
      <c r="C37" s="12">
        <f>(B37+IncomeStatement_Year5!C38)-C36</f>
        <v>9904227.1394694503</v>
      </c>
      <c r="D37" s="12">
        <f>(C37+IncomeStatement_Year5!D38)-D36</f>
        <v>10279366.506469898</v>
      </c>
      <c r="E37" s="12">
        <f>(D37+IncomeStatement_Year5!E38)-E36</f>
        <v>10668153.273630837</v>
      </c>
      <c r="F37" s="12">
        <f>(E37+IncomeStatement_Year5!F38)-F36</f>
        <v>11071159.005901579</v>
      </c>
      <c r="G37" s="12">
        <f>(F37+IncomeStatement_Year5!G38)-G36</f>
        <v>11488987.351334054</v>
      </c>
      <c r="H37" s="12">
        <f>(G37+IncomeStatement_Year5!H38)-H36</f>
        <v>11922276.015808839</v>
      </c>
      <c r="I37" s="12">
        <f>(H37+IncomeStatement_Year5!I38)-I36</f>
        <v>12371698.862720065</v>
      </c>
      <c r="J37" s="12">
        <f>(I37+IncomeStatement_Year5!J38)-J36</f>
        <v>12837968.145616157</v>
      </c>
      <c r="K37" s="12">
        <f>(J37+IncomeStatement_Year5!K38)-K36</f>
        <v>13321836.8823089</v>
      </c>
      <c r="L37" s="12">
        <f>(K37+IncomeStatement_Year5!L38)-L36</f>
        <v>13824101.37951223</v>
      </c>
      <c r="M37" s="12">
        <f>(L37+IncomeStatement_Year5!M38)-M36</f>
        <v>14345603.917656768</v>
      </c>
    </row>
    <row r="38" spans="1:13" x14ac:dyDescent="0.25">
      <c r="A38" s="4" t="s">
        <v>119</v>
      </c>
      <c r="B38" s="9">
        <f>SUM(B34:B37)-B36+SUM(BalanceSheet_Year1!C36:N36)+SUM(BalanceSheet_Year2!B36:M36)</f>
        <v>14092193.833502816</v>
      </c>
      <c r="C38" s="9">
        <f>SUM(C34:C37)-C36+SUM(BalanceSheet_Year1!C36:N36)+SUM(BalanceSheet_Year2!B36:M36)+SUM(BalanceSheet_Year5!B36:B36)</f>
        <v>14454227.13946945</v>
      </c>
      <c r="D38" s="9">
        <f>SUM(D34:D37)-D36+SUM(BalanceSheet_Year1!C36:N36)+SUM(BalanceSheet_Year2!B36:M36)+SUM(BalanceSheet_Year5!B36:C36)</f>
        <v>14829366.506469898</v>
      </c>
      <c r="E38" s="9">
        <f>SUM(E34:E37)-E36+SUM(BalanceSheet_Year1!C36:N36)+SUM(BalanceSheet_Year2!B36:M36)+SUM(BalanceSheet_Year5!B36:D36)</f>
        <v>15218153.273630837</v>
      </c>
      <c r="F38" s="9">
        <f>SUM(F34:F37)-F36+SUM(BalanceSheet_Year1!C36:N36)+SUM(BalanceSheet_Year2!B36:M36)+SUM(BalanceSheet_Year5!B36:E36)</f>
        <v>15621159.005901579</v>
      </c>
      <c r="G38" s="9">
        <f>SUM(G34:G37)-G36+SUM(BalanceSheet_Year1!C36:N36)+SUM(BalanceSheet_Year2!B36:M36)+SUM(BalanceSheet_Year5!B36:F36)</f>
        <v>16038987.351334054</v>
      </c>
      <c r="H38" s="9">
        <f>SUM(H34:H37)-H36+SUM(BalanceSheet_Year1!C36:N36)+SUM(BalanceSheet_Year2!B36:M36)+SUM(BalanceSheet_Year5!B36:G36)</f>
        <v>16472276.015808839</v>
      </c>
      <c r="I38" s="9">
        <f>SUM(I34:I37)-I36+SUM(BalanceSheet_Year1!C36:N36)+SUM(BalanceSheet_Year2!B36:M36)+SUM(BalanceSheet_Year5!B36:H36)</f>
        <v>16921698.862720065</v>
      </c>
      <c r="J38" s="9">
        <f>SUM(J34:J37)-J36+SUM(BalanceSheet_Year1!C36:N36)+SUM(BalanceSheet_Year2!B36:M36)+SUM(BalanceSheet_Year5!B36:I36)</f>
        <v>17387968.145616159</v>
      </c>
      <c r="K38" s="9">
        <f>SUM(K34:K37)-K36+SUM(BalanceSheet_Year1!C36:N36)+SUM(BalanceSheet_Year2!B36:M36)+SUM(BalanceSheet_Year5!B36:J36)</f>
        <v>17871836.8823089</v>
      </c>
      <c r="L38" s="9">
        <f>SUM(L34:L37)-L36+SUM(BalanceSheet_Year1!C36:N36)+SUM(BalanceSheet_Year2!B36:M36)+SUM(BalanceSheet_Year5!B36:K36)</f>
        <v>18374101.379512228</v>
      </c>
      <c r="M38" s="9">
        <f>SUM(M34:M37)-M36+SUM(BalanceSheet_Year1!C36:N36)+SUM(BalanceSheet_Year2!B36:M36)+SUM(BalanceSheet_Year5!B36:L36)</f>
        <v>18895603.917656768</v>
      </c>
    </row>
    <row r="40" spans="1:13" x14ac:dyDescent="0.25">
      <c r="A40" s="4" t="s">
        <v>120</v>
      </c>
      <c r="B40" s="9">
        <f t="shared" ref="B40:M40" si="7">B38+B31</f>
        <v>15107289.467693985</v>
      </c>
      <c r="C40" s="9">
        <f t="shared" si="7"/>
        <v>15476462.77387421</v>
      </c>
      <c r="D40" s="9">
        <f t="shared" si="7"/>
        <v>15859113.04839482</v>
      </c>
      <c r="E40" s="9">
        <f t="shared" si="7"/>
        <v>16255802.361161146</v>
      </c>
      <c r="F40" s="9">
        <f t="shared" si="7"/>
        <v>16667124.230829351</v>
      </c>
      <c r="G40" s="9">
        <f t="shared" si="7"/>
        <v>17093705.555759817</v>
      </c>
      <c r="H40" s="9">
        <f t="shared" si="7"/>
        <v>17536208.666894849</v>
      </c>
      <c r="I40" s="9">
        <f t="shared" si="7"/>
        <v>17995333.510347243</v>
      </c>
      <c r="J40" s="9">
        <f t="shared" si="7"/>
        <v>18471819.967987146</v>
      </c>
      <c r="K40" s="9">
        <f t="shared" si="7"/>
        <v>18966450.324848048</v>
      </c>
      <c r="L40" s="9">
        <f t="shared" si="7"/>
        <v>19480051.892740611</v>
      </c>
      <c r="M40" s="9">
        <f t="shared" si="7"/>
        <v>20013499.800067697</v>
      </c>
    </row>
    <row r="41" spans="1:13" x14ac:dyDescent="0.25">
      <c r="B41" s="6">
        <f>B20-B40</f>
        <v>-499999.99999999814</v>
      </c>
      <c r="C41" s="6">
        <f t="shared" ref="C41:M41" si="8">C20-C40</f>
        <v>-499999.99999999814</v>
      </c>
      <c r="D41" s="6">
        <f t="shared" si="8"/>
        <v>-499999.99999999814</v>
      </c>
      <c r="E41" s="6">
        <f t="shared" si="8"/>
        <v>-500000</v>
      </c>
      <c r="F41" s="6">
        <f t="shared" si="8"/>
        <v>-500000.00000000186</v>
      </c>
      <c r="G41" s="6">
        <f t="shared" si="8"/>
        <v>-500000.00000000186</v>
      </c>
      <c r="H41" s="6">
        <f t="shared" si="8"/>
        <v>-500000</v>
      </c>
      <c r="I41" s="6">
        <f t="shared" si="8"/>
        <v>-500000</v>
      </c>
      <c r="J41" s="6">
        <f t="shared" si="8"/>
        <v>-500000</v>
      </c>
      <c r="K41" s="6">
        <f t="shared" si="8"/>
        <v>-500000</v>
      </c>
      <c r="L41" s="6">
        <f t="shared" si="8"/>
        <v>-499999.99999999627</v>
      </c>
      <c r="M41" s="6">
        <f t="shared" si="8"/>
        <v>-499999.99999999627</v>
      </c>
    </row>
    <row r="45" spans="1:13" x14ac:dyDescent="0.25">
      <c r="A45" t="s">
        <v>79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9" workbookViewId="0">
      <selection activeCell="B30" sqref="B30"/>
    </sheetView>
  </sheetViews>
  <sheetFormatPr defaultColWidth="8.85546875" defaultRowHeight="15" x14ac:dyDescent="0.25"/>
  <cols>
    <col min="1" max="1" width="32.28515625" bestFit="1" customWidth="1"/>
    <col min="2" max="4" width="13.42578125" bestFit="1" customWidth="1"/>
    <col min="5" max="6" width="15" bestFit="1" customWidth="1"/>
  </cols>
  <sheetData>
    <row r="1" spans="1:6" x14ac:dyDescent="0.25">
      <c r="B1" t="s">
        <v>64</v>
      </c>
      <c r="C1" t="s">
        <v>80</v>
      </c>
      <c r="D1" t="s">
        <v>81</v>
      </c>
      <c r="E1" t="s">
        <v>137</v>
      </c>
      <c r="F1" t="s">
        <v>138</v>
      </c>
    </row>
    <row r="2" spans="1:6" x14ac:dyDescent="0.25">
      <c r="A2" s="4" t="s">
        <v>121</v>
      </c>
    </row>
    <row r="3" spans="1:6" x14ac:dyDescent="0.25">
      <c r="A3" t="str">
        <f>IncomeStatement_Year1!A7</f>
        <v>Sales</v>
      </c>
      <c r="B3" s="22">
        <f>IncomeStatement_Year1!N7</f>
        <v>7170223.8227745611</v>
      </c>
      <c r="C3" s="22">
        <f>IncomeStatement_Year2!N7</f>
        <v>11019460.032507669</v>
      </c>
      <c r="D3" s="22">
        <f>IncomeStatement_Year3!N7</f>
        <v>13184972.251558887</v>
      </c>
      <c r="E3" s="22">
        <f>IncomeStatement_Year4!N7</f>
        <v>16242745.578083776</v>
      </c>
      <c r="F3" s="22">
        <f>IncomeStatement_Year5!N7</f>
        <v>20899979.360947743</v>
      </c>
    </row>
    <row r="4" spans="1:6" x14ac:dyDescent="0.25">
      <c r="A4" s="4" t="s">
        <v>66</v>
      </c>
      <c r="B4" s="53">
        <f>SUM(B3:B3)</f>
        <v>7170223.8227745611</v>
      </c>
      <c r="C4" s="53">
        <f>SUM(C3:C3)</f>
        <v>11019460.032507669</v>
      </c>
      <c r="D4" s="53">
        <f>SUM(D3:D3)</f>
        <v>13184972.251558887</v>
      </c>
      <c r="E4" s="53">
        <f t="shared" ref="E4:F4" si="0">SUM(E3:E3)</f>
        <v>16242745.578083776</v>
      </c>
      <c r="F4" s="53">
        <f t="shared" si="0"/>
        <v>20899979.360947743</v>
      </c>
    </row>
    <row r="5" spans="1:6" x14ac:dyDescent="0.25">
      <c r="B5" s="22"/>
      <c r="C5" s="22"/>
      <c r="D5" s="22"/>
      <c r="E5" s="22"/>
      <c r="F5" s="22"/>
    </row>
    <row r="6" spans="1:6" x14ac:dyDescent="0.25">
      <c r="A6" t="s">
        <v>67</v>
      </c>
      <c r="B6" s="22">
        <f>IncomeStatement_Year1!N10</f>
        <v>2862351.440167841</v>
      </c>
      <c r="C6" s="22">
        <f>IncomeStatement_Year2!N10</f>
        <v>4157122.1026006616</v>
      </c>
      <c r="D6" s="22">
        <f>IncomeStatement_Year3!N10</f>
        <v>4904135.5256761396</v>
      </c>
      <c r="E6" s="22">
        <f>IncomeStatement_Year4!N10</f>
        <v>5950065.9970213426</v>
      </c>
      <c r="F6" s="22">
        <f>IncomeStatement_Year5!N10</f>
        <v>7529187.7778080236</v>
      </c>
    </row>
    <row r="7" spans="1:6" x14ac:dyDescent="0.25">
      <c r="A7" t="s">
        <v>68</v>
      </c>
      <c r="B7" s="22">
        <f>IncomeStatement_Year1!N11</f>
        <v>150816.77900608175</v>
      </c>
      <c r="C7" s="22">
        <f>IncomeStatement_Year2!N11</f>
        <v>220210.52446288784</v>
      </c>
      <c r="D7" s="22">
        <f>IncomeStatement_Year3!N11</f>
        <v>262967.8052823543</v>
      </c>
      <c r="E7" s="22">
        <f>IncomeStatement_Year4!N11</f>
        <v>323199.50646132516</v>
      </c>
      <c r="F7" s="22">
        <f>IncomeStatement_Year5!N11</f>
        <v>414727.35865547851</v>
      </c>
    </row>
    <row r="8" spans="1:6" x14ac:dyDescent="0.25">
      <c r="A8" s="4" t="s">
        <v>69</v>
      </c>
      <c r="B8" s="53">
        <f>SUM(B6:B7)</f>
        <v>3013168.2191739227</v>
      </c>
      <c r="C8" s="53">
        <f>SUM(C6:C7)</f>
        <v>4377332.6270635491</v>
      </c>
      <c r="D8" s="53">
        <f>SUM(D6:D7)</f>
        <v>5167103.330958494</v>
      </c>
      <c r="E8" s="53">
        <f t="shared" ref="E8:F8" si="1">SUM(E6:E7)</f>
        <v>6273265.5034826677</v>
      </c>
      <c r="F8" s="53">
        <f t="shared" si="1"/>
        <v>7943915.1364635024</v>
      </c>
    </row>
    <row r="9" spans="1:6" x14ac:dyDescent="0.25">
      <c r="B9" s="22"/>
      <c r="C9" s="22"/>
      <c r="D9" s="22"/>
      <c r="E9" s="22"/>
      <c r="F9" s="22"/>
    </row>
    <row r="10" spans="1:6" x14ac:dyDescent="0.25">
      <c r="A10" s="4" t="s">
        <v>70</v>
      </c>
      <c r="B10" s="53">
        <f>B4-B8</f>
        <v>4157055.6036006385</v>
      </c>
      <c r="C10" s="53">
        <f>C4-C8</f>
        <v>6642127.4054441201</v>
      </c>
      <c r="D10" s="53">
        <f>D4-D8</f>
        <v>8017868.9206003929</v>
      </c>
      <c r="E10" s="53">
        <f t="shared" ref="E10:F10" si="2">E4-E8</f>
        <v>9969480.0746011082</v>
      </c>
      <c r="F10" s="53">
        <f t="shared" si="2"/>
        <v>12956064.224484241</v>
      </c>
    </row>
    <row r="11" spans="1:6" x14ac:dyDescent="0.25">
      <c r="B11" s="22"/>
      <c r="C11" s="22"/>
      <c r="D11" s="22"/>
      <c r="E11" s="22"/>
      <c r="F11" s="22"/>
    </row>
    <row r="12" spans="1:6" x14ac:dyDescent="0.25">
      <c r="A12" s="4" t="s">
        <v>19</v>
      </c>
      <c r="B12" s="22"/>
      <c r="C12" s="22"/>
      <c r="D12" s="22"/>
      <c r="E12" s="22"/>
      <c r="F12" s="22"/>
    </row>
    <row r="13" spans="1:6" x14ac:dyDescent="0.25">
      <c r="A13" t="str">
        <f>IncomeStatement_Year1!A18</f>
        <v>Professional, Accounting and Legal</v>
      </c>
      <c r="B13" s="22">
        <f>IncomeStatement_Year1!N18</f>
        <v>262957.83379710966</v>
      </c>
      <c r="C13" s="22">
        <f>IncomeStatement_Year2!N18</f>
        <v>397681.10113776842</v>
      </c>
      <c r="D13" s="22">
        <f>IncomeStatement_Year3!N18</f>
        <v>473474.02880456112</v>
      </c>
      <c r="E13" s="22">
        <f>IncomeStatement_Year4!N18</f>
        <v>580496.09523293236</v>
      </c>
      <c r="F13" s="22">
        <f>IncomeStatement_Year5!N18</f>
        <v>743499.27763317106</v>
      </c>
    </row>
    <row r="14" spans="1:6" x14ac:dyDescent="0.25">
      <c r="A14" t="str">
        <f>IncomeStatement_Year1!A19</f>
        <v>Marketing &amp; Advertising</v>
      </c>
      <c r="B14" s="22">
        <f>IncomeStatement_Year1!N19</f>
        <v>93685.272684360898</v>
      </c>
      <c r="C14" s="22">
        <f>IncomeStatement_Year2!N19</f>
        <v>138706.66766308562</v>
      </c>
      <c r="D14" s="22">
        <f>IncomeStatement_Year3!N19</f>
        <v>156298.14496896157</v>
      </c>
      <c r="E14" s="22">
        <f>IncomeStatement_Year4!N19</f>
        <v>176120.66191422107</v>
      </c>
      <c r="F14" s="22">
        <f>IncomeStatement_Year5!N19</f>
        <v>198457.17016835461</v>
      </c>
    </row>
    <row r="15" spans="1:6" x14ac:dyDescent="0.25">
      <c r="A15" t="str">
        <f>IncomeStatement_Year1!A20</f>
        <v>Contingency Expense</v>
      </c>
      <c r="B15" s="22">
        <f>IncomeStatement_Year1!N20</f>
        <v>717022.38227745623</v>
      </c>
      <c r="C15" s="22">
        <f>IncomeStatement_Year2!N20</f>
        <v>1101946.003250767</v>
      </c>
      <c r="D15" s="22">
        <f>IncomeStatement_Year3!N20</f>
        <v>1318497.2251558888</v>
      </c>
      <c r="E15" s="22">
        <f>IncomeStatement_Year4!N20</f>
        <v>1624274.5578083775</v>
      </c>
      <c r="F15" s="22">
        <f>IncomeStatement_Year5!N20</f>
        <v>2089997.9360947739</v>
      </c>
    </row>
    <row r="16" spans="1:6" x14ac:dyDescent="0.25">
      <c r="A16" t="str">
        <f>IncomeStatement_Year1!A21</f>
        <v>Business Insurance</v>
      </c>
      <c r="B16" s="22">
        <f>IncomeStatement_Year1!N21</f>
        <v>40680.895291098248</v>
      </c>
      <c r="C16" s="22">
        <f>IncomeStatement_Year2!N21</f>
        <v>56077.84013003068</v>
      </c>
      <c r="D16" s="22">
        <f>IncomeStatement_Year3!N21</f>
        <v>64739.889006235549</v>
      </c>
      <c r="E16" s="22">
        <f>IncomeStatement_Year4!N21</f>
        <v>76970.982312335109</v>
      </c>
      <c r="F16" s="22">
        <f>IncomeStatement_Year5!N21</f>
        <v>95599.917443790953</v>
      </c>
    </row>
    <row r="17" spans="1:6" x14ac:dyDescent="0.25">
      <c r="A17" t="str">
        <f>IncomeStatement_Year1!A22</f>
        <v>Maintenance and Repairs</v>
      </c>
      <c r="B17" s="22">
        <f>IncomeStatement_Year1!N22</f>
        <v>43021.342936647372</v>
      </c>
      <c r="C17" s="22">
        <f>IncomeStatement_Year2!N22</f>
        <v>66116.760195046008</v>
      </c>
      <c r="D17" s="22">
        <f>IncomeStatement_Year3!N22</f>
        <v>79109.833509353339</v>
      </c>
      <c r="E17" s="22">
        <f>IncomeStatement_Year4!N22</f>
        <v>97456.473468502663</v>
      </c>
      <c r="F17" s="22">
        <f>IncomeStatement_Year5!N22</f>
        <v>125399.87616568644</v>
      </c>
    </row>
    <row r="18" spans="1:6" x14ac:dyDescent="0.25">
      <c r="A18" t="str">
        <f>IncomeStatement_Year1!A23</f>
        <v>Office Supplies</v>
      </c>
      <c r="B18" s="22">
        <f>IncomeStatement_Year1!N23</f>
        <v>7096.0147807696503</v>
      </c>
      <c r="C18" s="22">
        <f>IncomeStatement_Year2!N23</f>
        <v>10117.220326903733</v>
      </c>
      <c r="D18" s="22">
        <f>IncomeStatement_Year3!N23</f>
        <v>14424.73702570446</v>
      </c>
      <c r="E18" s="22">
        <f>IncomeStatement_Year4!N23</f>
        <v>20566.225854291315</v>
      </c>
      <c r="F18" s="22">
        <f>IncomeStatement_Year5!N23</f>
        <v>29322.520413093203</v>
      </c>
    </row>
    <row r="19" spans="1:6" x14ac:dyDescent="0.25">
      <c r="A19" t="str">
        <f>IncomeStatement_Year1!A24</f>
        <v>Meals/Gifts/Entertainment</v>
      </c>
      <c r="B19" s="22">
        <f>IncomeStatement_Year1!N24</f>
        <v>21288.044342308956</v>
      </c>
      <c r="C19" s="22">
        <f>IncomeStatement_Year2!N24</f>
        <v>30351.660980711204</v>
      </c>
      <c r="D19" s="22">
        <f>IncomeStatement_Year3!N24</f>
        <v>43274.211077113396</v>
      </c>
      <c r="E19" s="22">
        <f>IncomeStatement_Year4!N24</f>
        <v>61698.677562873956</v>
      </c>
      <c r="F19" s="22">
        <f>IncomeStatement_Year5!N24</f>
        <v>87967.561239279647</v>
      </c>
    </row>
    <row r="20" spans="1:6" x14ac:dyDescent="0.25">
      <c r="A20" t="str">
        <f>IncomeStatement_Year1!A25</f>
        <v>Research and Development</v>
      </c>
      <c r="B20" s="22">
        <f>IncomeStatement_Year1!N25</f>
        <v>787022.38227745623</v>
      </c>
      <c r="C20" s="22">
        <f>IncomeStatement_Year2!N25</f>
        <v>1101946.003250767</v>
      </c>
      <c r="D20" s="22">
        <f>IncomeStatement_Year3!N25</f>
        <v>1318497.2251558888</v>
      </c>
      <c r="E20" s="22">
        <f>IncomeStatement_Year4!N25</f>
        <v>1624274.5578083775</v>
      </c>
      <c r="F20" s="22">
        <f>IncomeStatement_Year5!N25</f>
        <v>2089997.9360947739</v>
      </c>
    </row>
    <row r="21" spans="1:6" x14ac:dyDescent="0.25">
      <c r="A21" t="str">
        <f>IncomeStatement_Year1!A26</f>
        <v>Salaries and Wages</v>
      </c>
      <c r="B21" s="22">
        <f>IncomeStatement_Year1!N26</f>
        <v>1161550</v>
      </c>
      <c r="C21" s="22">
        <f>IncomeStatement_Year2!N26</f>
        <v>1345600</v>
      </c>
      <c r="D21" s="22">
        <f>IncomeStatement_Year3!N26</f>
        <v>1345600</v>
      </c>
      <c r="E21" s="22">
        <f>IncomeStatement_Year4!N26</f>
        <v>1345600</v>
      </c>
      <c r="F21" s="22">
        <f>IncomeStatement_Year5!N26</f>
        <v>1345600</v>
      </c>
    </row>
    <row r="22" spans="1:6" x14ac:dyDescent="0.25">
      <c r="A22" t="str">
        <f>IncomeStatement_Year1!A27</f>
        <v>Taxes and Licenses</v>
      </c>
      <c r="B22" s="22">
        <f>IncomeStatement_Year1!N27</f>
        <v>12682.503013196971</v>
      </c>
      <c r="C22" s="22">
        <f>IncomeStatement_Year2!N27</f>
        <v>14290.961839994474</v>
      </c>
      <c r="D22" s="22">
        <f>IncomeStatement_Year3!N27</f>
        <v>16103.413505966608</v>
      </c>
      <c r="E22" s="22">
        <f>IncomeStatement_Year4!N27</f>
        <v>18145.729409088392</v>
      </c>
      <c r="F22" s="22">
        <f>IncomeStatement_Year5!N27</f>
        <v>20447.062088162602</v>
      </c>
    </row>
    <row r="23" spans="1:6" x14ac:dyDescent="0.25">
      <c r="A23" t="str">
        <f>IncomeStatement_Year1!A28</f>
        <v>Telephone &amp; Internet</v>
      </c>
      <c r="B23" s="22">
        <f>IncomeStatement_Year1!N28</f>
        <v>6341.2515065984853</v>
      </c>
      <c r="C23" s="22">
        <f>IncomeStatement_Year2!N28</f>
        <v>7145.4809199972369</v>
      </c>
      <c r="D23" s="22">
        <f>IncomeStatement_Year3!N28</f>
        <v>8051.7067529833039</v>
      </c>
      <c r="E23" s="22">
        <f>IncomeStatement_Year4!N28</f>
        <v>9072.8647045441958</v>
      </c>
      <c r="F23" s="22">
        <f>IncomeStatement_Year5!N28</f>
        <v>10223.531044081301</v>
      </c>
    </row>
    <row r="24" spans="1:6" x14ac:dyDescent="0.25">
      <c r="A24" t="str">
        <f>IncomeStatement_Year1!A29</f>
        <v>Loan Interest Expense</v>
      </c>
      <c r="B24" s="22">
        <f>IncomeStatement_Year1!N29</f>
        <v>0</v>
      </c>
      <c r="C24" s="22">
        <f>IncomeStatement_Year2!N29</f>
        <v>0</v>
      </c>
      <c r="D24" s="22">
        <f>IncomeStatement_Year3!N29</f>
        <v>0</v>
      </c>
      <c r="E24" s="22">
        <f>IncomeStatement_Year4!N29</f>
        <v>38770.331314696909</v>
      </c>
      <c r="F24" s="22">
        <f>IncomeStatement_Year5!N29</f>
        <v>35946.171396398728</v>
      </c>
    </row>
    <row r="25" spans="1:6" x14ac:dyDescent="0.25">
      <c r="A25" t="str">
        <f>IncomeStatement_Year1!A30</f>
        <v>Miscellaneous Expense</v>
      </c>
      <c r="B25" s="22">
        <f>IncomeStatement_Year1!N30</f>
        <v>0</v>
      </c>
      <c r="C25" s="22">
        <f>IncomeStatement_Year2!N30</f>
        <v>0</v>
      </c>
      <c r="D25" s="22">
        <f>IncomeStatement_Year3!N30</f>
        <v>0</v>
      </c>
      <c r="E25" s="22">
        <f>IncomeStatement_Year4!N30</f>
        <v>0</v>
      </c>
      <c r="F25" s="22">
        <f>IncomeStatement_Year5!N30</f>
        <v>0</v>
      </c>
    </row>
    <row r="26" spans="1:6" x14ac:dyDescent="0.25">
      <c r="A26" t="str">
        <f>IncomeStatement_Year1!A31</f>
        <v>Depreciation Expense</v>
      </c>
      <c r="B26" s="22">
        <f>IncomeStatement_Year1!N31</f>
        <v>23928.571428571424</v>
      </c>
      <c r="C26" s="22">
        <f>IncomeStatement_Year2!N31</f>
        <v>23928.571428571424</v>
      </c>
      <c r="D26" s="22">
        <f>IncomeStatement_Year3!N31</f>
        <v>23928.571428571424</v>
      </c>
      <c r="E26" s="22">
        <f>IncomeStatement_Year4!N31</f>
        <v>23720.238095238092</v>
      </c>
      <c r="F26" s="22">
        <f>IncomeStatement_Year5!N31</f>
        <v>21428.571428571431</v>
      </c>
    </row>
    <row r="27" spans="1:6" x14ac:dyDescent="0.25">
      <c r="A27" s="4" t="s">
        <v>75</v>
      </c>
      <c r="B27" s="53">
        <f>SUM(B13:B26)</f>
        <v>3177276.4943355741</v>
      </c>
      <c r="C27" s="53">
        <f t="shared" ref="C27:F27" si="3">SUM(C13:C26)</f>
        <v>4293908.271123643</v>
      </c>
      <c r="D27" s="53">
        <f t="shared" si="3"/>
        <v>4861998.9863912286</v>
      </c>
      <c r="E27" s="53">
        <f t="shared" si="3"/>
        <v>5697167.3954854785</v>
      </c>
      <c r="F27" s="53">
        <f t="shared" si="3"/>
        <v>6893887.5312101385</v>
      </c>
    </row>
    <row r="28" spans="1:6" x14ac:dyDescent="0.25">
      <c r="B28" s="22"/>
      <c r="C28" s="22"/>
      <c r="D28" s="22"/>
      <c r="E28" s="22"/>
      <c r="F28" s="22"/>
    </row>
    <row r="29" spans="1:6" x14ac:dyDescent="0.25">
      <c r="A29" s="4" t="s">
        <v>76</v>
      </c>
      <c r="B29" s="22">
        <f>IncomeStatement_Year1!N34</f>
        <v>979779.10926506389</v>
      </c>
      <c r="C29" s="22">
        <f>IncomeStatement_Year2!N34</f>
        <v>2348219.1343204761</v>
      </c>
      <c r="D29" s="22">
        <f>IncomeStatement_Year3!N34</f>
        <v>3155869.9342091652</v>
      </c>
      <c r="E29" s="22">
        <f>IncomeStatement_Year4!N34</f>
        <v>4272312.6791156288</v>
      </c>
      <c r="F29" s="22">
        <f>IncomeStatement_Year5!N34</f>
        <v>6062176.6932741003</v>
      </c>
    </row>
    <row r="30" spans="1:6" x14ac:dyDescent="0.25">
      <c r="B30" s="27"/>
      <c r="C30" s="27"/>
      <c r="D30" s="27"/>
      <c r="E30" s="27"/>
      <c r="F30" s="27"/>
    </row>
    <row r="31" spans="1:6" x14ac:dyDescent="0.25">
      <c r="A31" s="4" t="s">
        <v>77</v>
      </c>
      <c r="B31" s="22">
        <f>IncomeStatement_Year1!N36</f>
        <v>146966.86638975958</v>
      </c>
      <c r="C31" s="22">
        <f>IncomeStatement_Year2!N36</f>
        <v>352232.87014807138</v>
      </c>
      <c r="D31" s="22">
        <f>IncomeStatement_Year3!N36</f>
        <v>473380.49013137474</v>
      </c>
      <c r="E31" s="22">
        <f>IncomeStatement_Year3!N36</f>
        <v>473380.49013137474</v>
      </c>
      <c r="F31" s="22">
        <f>IncomeStatement_Year3!N36</f>
        <v>473380.49013137474</v>
      </c>
    </row>
    <row r="32" spans="1:6" x14ac:dyDescent="0.25">
      <c r="B32" s="22"/>
      <c r="C32" s="22"/>
      <c r="D32" s="22"/>
      <c r="E32" s="22"/>
      <c r="F32" s="22"/>
    </row>
    <row r="33" spans="1:6" x14ac:dyDescent="0.25">
      <c r="A33" s="4" t="s">
        <v>78</v>
      </c>
      <c r="B33" s="22">
        <f>IncomeStatement_Year1!N38</f>
        <v>832812.24287530431</v>
      </c>
      <c r="C33" s="22">
        <f>IncomeStatement_Year2!N38</f>
        <v>1995986.2641724045</v>
      </c>
      <c r="D33" s="22">
        <f>IncomeStatement_Year3!N38</f>
        <v>2682489.4440777907</v>
      </c>
      <c r="E33" s="22">
        <f>IncomeStatement_Year3!N38</f>
        <v>2682489.4440777907</v>
      </c>
      <c r="F33" s="22">
        <f>IncomeStatement_Year3!N38</f>
        <v>2682489.4440777907</v>
      </c>
    </row>
    <row r="38" spans="1:6" x14ac:dyDescent="0.25">
      <c r="A38" t="s">
        <v>79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12"/>
  <sheetViews>
    <sheetView workbookViewId="0">
      <selection activeCell="F13" sqref="F13"/>
    </sheetView>
  </sheetViews>
  <sheetFormatPr defaultColWidth="8.85546875" defaultRowHeight="15" x14ac:dyDescent="0.25"/>
  <cols>
    <col min="1" max="1" width="19.42578125" customWidth="1"/>
    <col min="2" max="2" width="11.5703125" bestFit="1" customWidth="1"/>
    <col min="3" max="3" width="5.5703125" bestFit="1" customWidth="1"/>
    <col min="4" max="4" width="12.5703125" bestFit="1" customWidth="1"/>
    <col min="5" max="5" width="5.42578125" bestFit="1" customWidth="1"/>
    <col min="6" max="6" width="20.140625" bestFit="1" customWidth="1"/>
    <col min="7" max="7" width="5.5703125" bestFit="1" customWidth="1"/>
    <col min="8" max="8" width="12.5703125" bestFit="1" customWidth="1"/>
    <col min="9" max="9" width="5.5703125" bestFit="1" customWidth="1"/>
    <col min="10" max="10" width="12.5703125" bestFit="1" customWidth="1"/>
    <col min="11" max="11" width="5.42578125" customWidth="1"/>
    <col min="13" max="13" width="25.7109375" customWidth="1"/>
  </cols>
  <sheetData>
    <row r="2" spans="1:19" x14ac:dyDescent="0.25">
      <c r="A2" s="23" t="s">
        <v>132</v>
      </c>
      <c r="B2" s="23"/>
      <c r="C2" s="23"/>
      <c r="D2" s="23"/>
      <c r="E2" s="23"/>
      <c r="F2" s="23" t="s">
        <v>133</v>
      </c>
      <c r="G2" s="23"/>
      <c r="H2" s="23"/>
      <c r="I2" s="23"/>
      <c r="J2" s="23"/>
      <c r="K2" s="23"/>
      <c r="L2" s="23"/>
      <c r="M2" s="23"/>
      <c r="N2" s="23" t="s">
        <v>134</v>
      </c>
      <c r="O2" s="23"/>
      <c r="P2" s="23"/>
      <c r="Q2" s="23"/>
    </row>
    <row r="3" spans="1:19" ht="15.75" thickBot="1" x14ac:dyDescent="0.3">
      <c r="A3" s="30"/>
      <c r="E3" s="30"/>
      <c r="M3" s="30"/>
    </row>
    <row r="4" spans="1:19" x14ac:dyDescent="0.25">
      <c r="A4" s="72" t="s">
        <v>125</v>
      </c>
      <c r="B4" s="72"/>
      <c r="C4" s="72"/>
      <c r="D4" s="72"/>
      <c r="E4" s="72"/>
      <c r="F4" s="72"/>
      <c r="G4" s="72"/>
      <c r="H4" s="45"/>
      <c r="I4" s="45"/>
      <c r="J4" s="45"/>
      <c r="K4" s="45"/>
      <c r="M4" s="73" t="s">
        <v>124</v>
      </c>
      <c r="N4" s="74"/>
      <c r="O4" s="74"/>
      <c r="P4" s="74"/>
      <c r="Q4" s="74"/>
      <c r="R4" s="75"/>
    </row>
    <row r="5" spans="1:19" x14ac:dyDescent="0.25">
      <c r="M5" s="31"/>
      <c r="N5" s="32"/>
      <c r="O5" s="32"/>
      <c r="P5" s="32"/>
      <c r="Q5" s="32"/>
      <c r="R5" s="33"/>
    </row>
    <row r="6" spans="1:19" x14ac:dyDescent="0.25">
      <c r="B6" s="24">
        <v>2017</v>
      </c>
      <c r="C6" s="24"/>
      <c r="D6" s="24">
        <v>2018</v>
      </c>
      <c r="E6" s="24"/>
      <c r="F6" s="24">
        <v>2019</v>
      </c>
      <c r="H6" s="23">
        <v>2020</v>
      </c>
      <c r="J6" s="45">
        <v>2021</v>
      </c>
      <c r="M6" s="34"/>
      <c r="N6" s="35">
        <v>2017</v>
      </c>
      <c r="O6" s="35">
        <v>2018</v>
      </c>
      <c r="P6" s="35">
        <v>2019</v>
      </c>
      <c r="Q6" s="35">
        <v>2020</v>
      </c>
      <c r="R6" s="35">
        <v>2021</v>
      </c>
    </row>
    <row r="7" spans="1:19" x14ac:dyDescent="0.25">
      <c r="A7" t="s">
        <v>122</v>
      </c>
      <c r="B7" s="22">
        <f>AnnualSummary!B3</f>
        <v>7170223.8227745611</v>
      </c>
      <c r="C7" s="27">
        <f>B7/B7</f>
        <v>1</v>
      </c>
      <c r="D7" s="22">
        <f>AnnualSummary!C3</f>
        <v>11019460.032507669</v>
      </c>
      <c r="E7" s="27">
        <f>D7/D7</f>
        <v>1</v>
      </c>
      <c r="F7" s="22">
        <f>AnnualSummary!D3</f>
        <v>13184972.251558887</v>
      </c>
      <c r="G7" s="27">
        <f>F7/F7</f>
        <v>1</v>
      </c>
      <c r="H7" s="22">
        <f>AnnualSummary!E3</f>
        <v>16242745.578083776</v>
      </c>
      <c r="I7" s="27">
        <f>H7/H7</f>
        <v>1</v>
      </c>
      <c r="J7" s="22">
        <f>AnnualSummary!F3</f>
        <v>20899979.360947743</v>
      </c>
      <c r="K7" s="27">
        <f>J7/J7</f>
        <v>1</v>
      </c>
      <c r="M7" s="36" t="s">
        <v>129</v>
      </c>
      <c r="N7" s="37" t="s">
        <v>130</v>
      </c>
      <c r="O7" s="38">
        <f>(AnnualSummary!C3-AnnualSummary!B3)/AnnualSummary!B3</f>
        <v>0.53683626967220988</v>
      </c>
      <c r="P7" s="38">
        <f>(AnnualSummary!D3-AnnualSummary!C3)/AnnualSummary!C3</f>
        <v>0.19651709000830395</v>
      </c>
      <c r="Q7" s="38">
        <f>(AnnualSummary!E3-AnnualSummary!D3)/AnnualSummary!D3</f>
        <v>0.23191352004274124</v>
      </c>
      <c r="R7" s="38">
        <f>(AnnualSummary!F3-AnnualSummary!E3)/AnnualSummary!E3</f>
        <v>0.28672700440176446</v>
      </c>
    </row>
    <row r="8" spans="1:19" x14ac:dyDescent="0.25">
      <c r="A8" t="s">
        <v>69</v>
      </c>
      <c r="B8" s="25">
        <f>AnnualSummary!B8</f>
        <v>3013168.2191739227</v>
      </c>
      <c r="C8" s="28">
        <f>B8/B7</f>
        <v>0.42023349530642118</v>
      </c>
      <c r="D8" s="25">
        <f>AnnualSummary!C8</f>
        <v>4377332.6270635491</v>
      </c>
      <c r="E8" s="28">
        <f>D8/D7</f>
        <v>0.39723658093502889</v>
      </c>
      <c r="F8" s="25">
        <f>AnnualSummary!D8</f>
        <v>5167103.330958494</v>
      </c>
      <c r="G8" s="28">
        <f>F8/F7</f>
        <v>0.39189337924830114</v>
      </c>
      <c r="H8" s="25">
        <f>AnnualSummary!E8</f>
        <v>6273265.5034826677</v>
      </c>
      <c r="I8" s="28">
        <f>H8/H7</f>
        <v>0.38621952633101275</v>
      </c>
      <c r="J8" s="25">
        <f>AnnualSummary!F8</f>
        <v>7943915.1364635024</v>
      </c>
      <c r="K8" s="28">
        <f>J8/J7</f>
        <v>0.38009200866996801</v>
      </c>
      <c r="M8" s="36" t="s">
        <v>126</v>
      </c>
      <c r="N8" s="38">
        <f>Dashboard!B9/Dashboard!B7</f>
        <v>0.57976650469357882</v>
      </c>
      <c r="O8" s="38">
        <f>Dashboard!D9/Dashboard!D7</f>
        <v>0.60276341906497111</v>
      </c>
      <c r="P8" s="38">
        <f>Dashboard!F9/Dashboard!F7</f>
        <v>0.60810662075169886</v>
      </c>
      <c r="Q8" s="38">
        <f>Dashboard!H9/Dashboard!H7</f>
        <v>0.61378047366898725</v>
      </c>
      <c r="R8" s="39">
        <f>Dashboard!J9/Dashboard!J7</f>
        <v>0.61990799133003194</v>
      </c>
    </row>
    <row r="9" spans="1:19" x14ac:dyDescent="0.25">
      <c r="A9" t="s">
        <v>123</v>
      </c>
      <c r="B9" s="22">
        <f>B7-B8</f>
        <v>4157055.6036006385</v>
      </c>
      <c r="C9" s="27">
        <f>B9/B7</f>
        <v>0.57976650469357882</v>
      </c>
      <c r="D9" s="22">
        <f>D7-D8</f>
        <v>6642127.4054441201</v>
      </c>
      <c r="E9" s="27">
        <f>D9/D7</f>
        <v>0.60276341906497111</v>
      </c>
      <c r="F9" s="22">
        <f>F7-F8</f>
        <v>8017868.9206003929</v>
      </c>
      <c r="G9" s="27">
        <f>F9/F7</f>
        <v>0.60810662075169886</v>
      </c>
      <c r="H9" s="22">
        <f>H7-H8</f>
        <v>9969480.0746011082</v>
      </c>
      <c r="I9" s="27">
        <f>H9/H7</f>
        <v>0.61378047366898725</v>
      </c>
      <c r="J9" s="22">
        <f>J7-J8</f>
        <v>12956064.224484241</v>
      </c>
      <c r="K9" s="27">
        <f>J9/J7</f>
        <v>0.61990799133003194</v>
      </c>
      <c r="M9" s="36" t="s">
        <v>127</v>
      </c>
      <c r="N9" s="38">
        <f>Dashboard!B11/Dashboard!B7</f>
        <v>0.11614870936525976</v>
      </c>
      <c r="O9" s="38">
        <f>Dashboard!D11/Dashboard!D7</f>
        <v>0.18113285571926371</v>
      </c>
      <c r="P9" s="38">
        <f>Dashboard!F11/Dashboard!F7</f>
        <v>0.20345051873435943</v>
      </c>
      <c r="Q9" s="38">
        <f>Dashboard!H11/Dashboard!H7</f>
        <v>0.16515000073000313</v>
      </c>
      <c r="R9" s="33">
        <f>Dashboard!J11/Dashboard!J7</f>
        <v>0.12834890397500129</v>
      </c>
    </row>
    <row r="10" spans="1:19" ht="15.75" thickBot="1" x14ac:dyDescent="0.3">
      <c r="A10" t="s">
        <v>19</v>
      </c>
      <c r="B10" s="25">
        <f>AnnualSummary!B27</f>
        <v>3177276.4943355741</v>
      </c>
      <c r="C10" s="28">
        <f>B10/B7</f>
        <v>0.44312096426386144</v>
      </c>
      <c r="D10" s="25">
        <f>AnnualSummary!C27</f>
        <v>4293908.271123643</v>
      </c>
      <c r="E10" s="28">
        <f>D10/D7</f>
        <v>0.38966594174819014</v>
      </c>
      <c r="F10" s="25">
        <f>AnnualSummary!D27</f>
        <v>4861998.9863912286</v>
      </c>
      <c r="G10" s="28">
        <f>F10/F7</f>
        <v>0.36875306929951135</v>
      </c>
      <c r="H10" s="25">
        <f>AnnualSummary!E27</f>
        <v>5697167.3954854785</v>
      </c>
      <c r="I10" s="28">
        <f>H10/H7</f>
        <v>0.35075150122234428</v>
      </c>
      <c r="J10" s="25">
        <f>AnnualSummary!F27</f>
        <v>6893887.5312101385</v>
      </c>
      <c r="K10" s="28">
        <f>J10/J7</f>
        <v>0.32985140378136357</v>
      </c>
      <c r="M10" s="40" t="s">
        <v>128</v>
      </c>
      <c r="N10" s="41" t="e">
        <f>IncomeStatement_Year1!N34/(CashFlowStatement_Year1!O29+CashFlowStatement_Year1!O30)</f>
        <v>#DIV/0!</v>
      </c>
      <c r="O10" s="41" t="e">
        <f>IncomeStatement_Year2!N34/(CashFlowStatement_Year2!N28+CashFlowStatement_Year2!N29)</f>
        <v>#DIV/0!</v>
      </c>
      <c r="P10" s="41" t="e">
        <f>IncomeStatement_Year3!N34/(CashFlowStatement_Year3!N28+CashFlowStatement_Year3!N29)</f>
        <v>#DIV/0!</v>
      </c>
      <c r="Q10" s="41">
        <f>IncomeStatement_Year4!N34/(CashFlowStatement_Year4!N28+CashFlowStatement_Year4!N29)</f>
        <v>58.688389642046772</v>
      </c>
      <c r="R10" s="46">
        <f>IncomeStatement_Year5!N34/(CashFlowStatement_Year5!N28+CashFlowStatement_Year5!N29)</f>
        <v>83.275596749499073</v>
      </c>
      <c r="S10" s="30" t="s">
        <v>131</v>
      </c>
    </row>
    <row r="11" spans="1:19" ht="15.75" thickBot="1" x14ac:dyDescent="0.3">
      <c r="A11" t="s">
        <v>78</v>
      </c>
      <c r="B11" s="26">
        <f>AnnualSummary!B33</f>
        <v>832812.24287530431</v>
      </c>
      <c r="C11" s="29">
        <f>B11/B7</f>
        <v>0.11614870936525976</v>
      </c>
      <c r="D11" s="26">
        <f>AnnualSummary!C33</f>
        <v>1995986.2641724045</v>
      </c>
      <c r="E11" s="29">
        <f>D11/D7</f>
        <v>0.18113285571926371</v>
      </c>
      <c r="F11" s="26">
        <f>AnnualSummary!D33</f>
        <v>2682489.4440777907</v>
      </c>
      <c r="G11" s="29">
        <f>F11/F7</f>
        <v>0.20345051873435943</v>
      </c>
      <c r="H11" s="26">
        <f>AnnualSummary!E33</f>
        <v>2682489.4440777907</v>
      </c>
      <c r="I11" s="29">
        <f>H11/H7</f>
        <v>0.16515000073000313</v>
      </c>
      <c r="J11" s="26">
        <f>AnnualSummary!F33</f>
        <v>2682489.4440777907</v>
      </c>
      <c r="K11" s="29">
        <f>J11/J7</f>
        <v>0.12834890397500129</v>
      </c>
    </row>
    <row r="12" spans="1:19" ht="15.75" thickTop="1" x14ac:dyDescent="0.25">
      <c r="B12" s="42"/>
      <c r="C12" s="38"/>
      <c r="D12" s="42"/>
      <c r="E12" s="38"/>
      <c r="F12" s="42"/>
      <c r="G12" s="38"/>
      <c r="H12" s="38"/>
      <c r="I12" s="38"/>
      <c r="J12" s="38"/>
      <c r="K12" s="38"/>
    </row>
  </sheetData>
  <mergeCells count="2">
    <mergeCell ref="A4:G4"/>
    <mergeCell ref="M4:R4"/>
  </mergeCells>
  <pageMargins left="0.7" right="0.7" top="0.75" bottom="0.75" header="0.3" footer="0.3"/>
  <pageSetup orientation="portrait" horizontalDpi="300" verticalDpi="300" r:id="rId1"/>
  <drawing r:id="rId2"/>
  <legacy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1"/>
  <sheetViews>
    <sheetView workbookViewId="0"/>
  </sheetViews>
  <sheetFormatPr defaultColWidth="8.85546875" defaultRowHeight="15" x14ac:dyDescent="0.25"/>
  <sheetData>
    <row r="1" spans="1:2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1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spans="1:21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1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1:21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21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1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1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1:21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1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1:21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:2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1:2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</row>
    <row r="30" spans="1:21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</row>
    <row r="31" spans="1:21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1:21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spans="1:21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</row>
    <row r="34" spans="1:21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</row>
    <row r="35" spans="1:21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</row>
    <row r="36" spans="1:21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</row>
    <row r="37" spans="1:21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</row>
    <row r="38" spans="1:21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</row>
    <row r="39" spans="1:2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</row>
    <row r="40" spans="1:2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1:21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1:21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1:2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1:21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</row>
    <row r="45" spans="1:21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</row>
    <row r="46" spans="1:21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</row>
    <row r="47" spans="1:2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</row>
    <row r="48" spans="1:21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</row>
    <row r="49" spans="1:21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</row>
    <row r="50" spans="1:21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</row>
    <row r="51" spans="1:21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</row>
    <row r="52" spans="1:21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</row>
    <row r="53" spans="1:21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</row>
    <row r="54" spans="1:21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</row>
    <row r="55" spans="1:21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</row>
    <row r="56" spans="1:21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1:21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1:21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1:21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1:21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1:21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2" spans="1:21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1:21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</row>
    <row r="64" spans="1:21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</row>
    <row r="65" spans="1:21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</row>
    <row r="66" spans="1:21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</row>
    <row r="67" spans="1:21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</row>
    <row r="68" spans="1:21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</row>
    <row r="69" spans="1:21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</row>
    <row r="70" spans="1:21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</row>
    <row r="71" spans="1:21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</row>
    <row r="72" spans="1:21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</row>
    <row r="73" spans="1:21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</row>
    <row r="74" spans="1:21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</row>
    <row r="75" spans="1:21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</row>
    <row r="100" spans="1:37" x14ac:dyDescent="0.25">
      <c r="B100" s="16">
        <v>1</v>
      </c>
      <c r="C100" s="16">
        <v>2</v>
      </c>
      <c r="D100" s="16">
        <v>3</v>
      </c>
      <c r="E100" s="16">
        <v>4</v>
      </c>
      <c r="F100" s="16">
        <v>5</v>
      </c>
      <c r="G100" s="16">
        <v>6</v>
      </c>
      <c r="H100" s="16">
        <v>7</v>
      </c>
      <c r="I100" s="16">
        <v>8</v>
      </c>
      <c r="J100" s="16">
        <v>9</v>
      </c>
      <c r="K100" s="16">
        <v>10</v>
      </c>
      <c r="L100" s="16">
        <v>11</v>
      </c>
      <c r="M100" s="16">
        <v>12</v>
      </c>
      <c r="N100" s="16">
        <v>13</v>
      </c>
      <c r="O100" s="16">
        <v>14</v>
      </c>
      <c r="P100" s="16">
        <v>15</v>
      </c>
      <c r="Q100" s="16">
        <v>16</v>
      </c>
      <c r="R100" s="16">
        <v>17</v>
      </c>
      <c r="S100" s="16">
        <v>18</v>
      </c>
      <c r="T100" s="16">
        <v>19</v>
      </c>
      <c r="U100" s="16">
        <v>20</v>
      </c>
      <c r="V100" s="16">
        <v>21</v>
      </c>
      <c r="W100" s="16">
        <v>22</v>
      </c>
      <c r="X100" s="16">
        <v>23</v>
      </c>
      <c r="Y100" s="16">
        <v>24</v>
      </c>
      <c r="Z100" s="16">
        <v>25</v>
      </c>
      <c r="AA100" s="16">
        <v>26</v>
      </c>
      <c r="AB100" s="16">
        <v>27</v>
      </c>
      <c r="AC100" s="16">
        <v>28</v>
      </c>
      <c r="AD100" s="16">
        <v>29</v>
      </c>
      <c r="AE100" s="16">
        <v>30</v>
      </c>
      <c r="AF100" s="16">
        <v>31</v>
      </c>
      <c r="AG100" s="16">
        <v>32</v>
      </c>
      <c r="AH100" s="16">
        <v>33</v>
      </c>
      <c r="AI100" s="16">
        <v>34</v>
      </c>
      <c r="AJ100" s="16">
        <v>35</v>
      </c>
      <c r="AK100" s="16">
        <v>36</v>
      </c>
    </row>
    <row r="101" spans="1:37" x14ac:dyDescent="0.25">
      <c r="A101" s="16" t="s">
        <v>78</v>
      </c>
      <c r="B101" s="16">
        <f>IncomeStatement_Year1!B38</f>
        <v>-89241.286484860917</v>
      </c>
      <c r="C101" s="16">
        <f>IncomeStatement_Year1!C38</f>
        <v>-101116.28648486092</v>
      </c>
      <c r="D101" s="16">
        <f>IncomeStatement_Year1!D38</f>
        <v>-123893.23648486093</v>
      </c>
      <c r="E101" s="16">
        <f>IncomeStatement_Year1!E38</f>
        <v>108601.39152001776</v>
      </c>
      <c r="F101" s="16">
        <f>IncomeStatement_Year1!F38</f>
        <v>114857.32312883291</v>
      </c>
      <c r="G101" s="16">
        <f>IncomeStatement_Year1!G38</f>
        <v>121219.12657170382</v>
      </c>
      <c r="H101" s="16">
        <f>IncomeStatement_Year1!H38</f>
        <v>116873.47859265143</v>
      </c>
      <c r="I101" s="16">
        <f>IncomeStatement_Year1!I38</f>
        <v>123457.22725249972</v>
      </c>
      <c r="J101" s="16">
        <f>IncomeStatement_Year1!J38</f>
        <v>130157.40236669761</v>
      </c>
      <c r="K101" s="16">
        <f>IncomeStatement_Year1!K38</f>
        <v>136977.89327222964</v>
      </c>
      <c r="L101" s="16">
        <f>IncomeStatement_Year1!L38</f>
        <v>143922.79396594065</v>
      </c>
      <c r="M101" s="16">
        <f>IncomeStatement_Year1!M38</f>
        <v>150996.41565931356</v>
      </c>
      <c r="N101" s="16">
        <f>IncomeStatement_Year2!B38</f>
        <v>141097.79981774848</v>
      </c>
      <c r="O101" s="16">
        <f>IncomeStatement_Year2!C38</f>
        <v>145337.02225370985</v>
      </c>
      <c r="P101" s="16">
        <f>IncomeStatement_Year2!D38</f>
        <v>149671.76656815206</v>
      </c>
      <c r="Q101" s="16">
        <f>IncomeStatement_Year2!E38</f>
        <v>154105.74745817319</v>
      </c>
      <c r="R101" s="16">
        <f>IncomeStatement_Year2!F38</f>
        <v>158642.87986056408</v>
      </c>
      <c r="S101" s="16">
        <f>IncomeStatement_Year2!G38</f>
        <v>163287.29105419695</v>
      </c>
      <c r="T101" s="16">
        <f>IncomeStatement_Year2!H38</f>
        <v>168043.33352037874</v>
      </c>
      <c r="U101" s="16">
        <f>IncomeStatement_Year2!I38</f>
        <v>172915.598609276</v>
      </c>
      <c r="V101" s="16">
        <f>IncomeStatement_Year2!J38</f>
        <v>177908.93106360862</v>
      </c>
      <c r="W101" s="16">
        <f>IncomeStatement_Year2!K38</f>
        <v>183028.44445407431</v>
      </c>
      <c r="X101" s="16">
        <f>IncomeStatement_Year2!L38</f>
        <v>188279.53758445435</v>
      </c>
      <c r="Y101" s="16">
        <f>IncomeStatement_Year2!M38</f>
        <v>193667.91192806792</v>
      </c>
      <c r="Z101" s="16">
        <f>IncomeStatement_Year3!B38</f>
        <v>189103.95516256901</v>
      </c>
      <c r="AA101" s="16">
        <f>IncomeStatement_Year3!C38</f>
        <v>194785.30086456396</v>
      </c>
      <c r="AB101" s="16">
        <f>IncomeStatement_Year3!D38</f>
        <v>200623.03945920162</v>
      </c>
      <c r="AC101" s="16">
        <f>IncomeStatement_Year3!E38</f>
        <v>206624.2804759689</v>
      </c>
      <c r="AD101" s="16">
        <f>IncomeStatement_Year3!F38</f>
        <v>212796.54121568706</v>
      </c>
      <c r="AE101" s="16">
        <f>IncomeStatement_Year3!G38</f>
        <v>219147.77190987731</v>
      </c>
      <c r="AF101" s="16">
        <f>IncomeStatement_Year3!H38</f>
        <v>225686.38246916927</v>
      </c>
      <c r="AG101" s="16">
        <f>IncomeStatement_Year3!I38</f>
        <v>232421.2709221298</v>
      </c>
      <c r="AH101" s="16">
        <f>IncomeStatement_Year3!J38</f>
        <v>239361.85365242016</v>
      </c>
      <c r="AI101" s="16">
        <f>IncomeStatement_Year3!K38</f>
        <v>246518.09754911228</v>
      </c>
      <c r="AJ101" s="16">
        <f>IncomeStatement_Year3!L38</f>
        <v>253900.55419238983</v>
      </c>
      <c r="AK101" s="16">
        <f>IncomeStatement_Year3!M38</f>
        <v>261520.39620470139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02"/>
  <sheetViews>
    <sheetView workbookViewId="0"/>
  </sheetViews>
  <sheetFormatPr defaultColWidth="8.85546875" defaultRowHeight="15" x14ac:dyDescent="0.25"/>
  <cols>
    <col min="1" max="1" width="69.7109375" bestFit="1" customWidth="1"/>
    <col min="2" max="48" width="12.42578125" bestFit="1" customWidth="1"/>
    <col min="49" max="61" width="12.7109375" bestFit="1" customWidth="1"/>
  </cols>
  <sheetData>
    <row r="1" spans="1:61" x14ac:dyDescent="0.25">
      <c r="A1" s="4" t="s">
        <v>151</v>
      </c>
    </row>
    <row r="3" spans="1:61" x14ac:dyDescent="0.25">
      <c r="A3" t="s">
        <v>17</v>
      </c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>
        <v>8</v>
      </c>
      <c r="J3">
        <v>9</v>
      </c>
      <c r="K3">
        <v>10</v>
      </c>
      <c r="L3">
        <v>11</v>
      </c>
      <c r="M3">
        <v>12</v>
      </c>
      <c r="N3">
        <v>13</v>
      </c>
      <c r="O3">
        <v>14</v>
      </c>
      <c r="P3">
        <v>15</v>
      </c>
      <c r="Q3">
        <v>16</v>
      </c>
      <c r="R3">
        <v>17</v>
      </c>
      <c r="S3">
        <v>18</v>
      </c>
      <c r="T3">
        <v>19</v>
      </c>
      <c r="U3">
        <v>20</v>
      </c>
      <c r="V3">
        <v>21</v>
      </c>
      <c r="W3">
        <v>22</v>
      </c>
      <c r="X3">
        <v>23</v>
      </c>
      <c r="Y3">
        <v>24</v>
      </c>
      <c r="Z3">
        <v>25</v>
      </c>
      <c r="AA3">
        <v>26</v>
      </c>
      <c r="AB3">
        <v>27</v>
      </c>
      <c r="AC3">
        <v>28</v>
      </c>
      <c r="AD3">
        <v>29</v>
      </c>
      <c r="AE3">
        <v>30</v>
      </c>
      <c r="AF3">
        <v>31</v>
      </c>
      <c r="AG3">
        <v>32</v>
      </c>
      <c r="AH3">
        <v>33</v>
      </c>
      <c r="AI3">
        <v>34</v>
      </c>
      <c r="AJ3">
        <v>35</v>
      </c>
      <c r="AK3">
        <v>36</v>
      </c>
      <c r="AL3">
        <v>37</v>
      </c>
      <c r="AM3">
        <v>38</v>
      </c>
      <c r="AN3">
        <v>39</v>
      </c>
      <c r="AO3">
        <v>40</v>
      </c>
      <c r="AP3">
        <v>41</v>
      </c>
      <c r="AQ3">
        <v>42</v>
      </c>
      <c r="AR3">
        <v>43</v>
      </c>
      <c r="AS3">
        <v>44</v>
      </c>
      <c r="AT3">
        <v>45</v>
      </c>
      <c r="AU3">
        <v>46</v>
      </c>
      <c r="AV3">
        <v>47</v>
      </c>
      <c r="AW3">
        <v>48</v>
      </c>
      <c r="AX3">
        <v>49</v>
      </c>
      <c r="AY3">
        <v>50</v>
      </c>
      <c r="AZ3">
        <v>51</v>
      </c>
      <c r="BA3">
        <v>52</v>
      </c>
      <c r="BB3">
        <v>53</v>
      </c>
      <c r="BC3">
        <v>54</v>
      </c>
      <c r="BD3">
        <v>55</v>
      </c>
      <c r="BE3">
        <v>56</v>
      </c>
      <c r="BF3">
        <v>57</v>
      </c>
      <c r="BG3">
        <v>58</v>
      </c>
      <c r="BH3">
        <v>59</v>
      </c>
      <c r="BI3">
        <v>60</v>
      </c>
    </row>
    <row r="4" spans="1:61" x14ac:dyDescent="0.25">
      <c r="A4" s="59" t="s">
        <v>161</v>
      </c>
      <c r="B4" s="49">
        <v>0</v>
      </c>
      <c r="C4" s="48">
        <f>B4*(1+B5)</f>
        <v>0</v>
      </c>
      <c r="D4" s="48">
        <f t="shared" ref="D4:BI4" si="0">C4*(1+C5)</f>
        <v>0</v>
      </c>
      <c r="E4" s="49">
        <v>10000</v>
      </c>
      <c r="F4" s="48">
        <f t="shared" si="0"/>
        <v>10100</v>
      </c>
      <c r="G4" s="48">
        <f t="shared" si="0"/>
        <v>10201</v>
      </c>
      <c r="H4" s="48">
        <f t="shared" si="0"/>
        <v>10303.01</v>
      </c>
      <c r="I4" s="48">
        <f t="shared" si="0"/>
        <v>10406.0401</v>
      </c>
      <c r="J4" s="48">
        <f t="shared" si="0"/>
        <v>10510.100501000001</v>
      </c>
      <c r="K4" s="48">
        <f t="shared" si="0"/>
        <v>10615.20150601</v>
      </c>
      <c r="L4" s="48">
        <f t="shared" si="0"/>
        <v>10721.353521070101</v>
      </c>
      <c r="M4" s="48">
        <f t="shared" si="0"/>
        <v>10828.567056280803</v>
      </c>
      <c r="N4" s="48">
        <f t="shared" si="0"/>
        <v>10936.85272684361</v>
      </c>
      <c r="O4" s="48">
        <f t="shared" si="0"/>
        <v>11046.221254112046</v>
      </c>
      <c r="P4" s="48">
        <f t="shared" si="0"/>
        <v>11156.683466653167</v>
      </c>
      <c r="Q4" s="48">
        <f t="shared" si="0"/>
        <v>11268.250301319698</v>
      </c>
      <c r="R4" s="48">
        <f t="shared" si="0"/>
        <v>11380.932804332895</v>
      </c>
      <c r="S4" s="48">
        <f t="shared" si="0"/>
        <v>11494.742132376225</v>
      </c>
      <c r="T4" s="48">
        <f t="shared" si="0"/>
        <v>11609.689553699987</v>
      </c>
      <c r="U4" s="48">
        <f t="shared" si="0"/>
        <v>11725.786449236988</v>
      </c>
      <c r="V4" s="48">
        <f t="shared" si="0"/>
        <v>11843.044313729359</v>
      </c>
      <c r="W4" s="48">
        <f t="shared" si="0"/>
        <v>11961.474756866652</v>
      </c>
      <c r="X4" s="48">
        <f t="shared" si="0"/>
        <v>12081.089504435318</v>
      </c>
      <c r="Y4" s="48">
        <f t="shared" si="0"/>
        <v>12201.900399479671</v>
      </c>
      <c r="Z4" s="48">
        <f t="shared" si="0"/>
        <v>12323.919403474469</v>
      </c>
      <c r="AA4" s="48">
        <f t="shared" si="0"/>
        <v>12447.158597509213</v>
      </c>
      <c r="AB4" s="48">
        <f t="shared" si="0"/>
        <v>12571.630183484305</v>
      </c>
      <c r="AC4" s="48">
        <f t="shared" si="0"/>
        <v>12697.346485319149</v>
      </c>
      <c r="AD4" s="48">
        <f t="shared" si="0"/>
        <v>12824.319950172341</v>
      </c>
      <c r="AE4" s="48">
        <f t="shared" si="0"/>
        <v>12952.563149674064</v>
      </c>
      <c r="AF4" s="48">
        <f t="shared" si="0"/>
        <v>13082.088781170805</v>
      </c>
      <c r="AG4" s="48">
        <f t="shared" si="0"/>
        <v>13212.909668982513</v>
      </c>
      <c r="AH4" s="48">
        <f t="shared" si="0"/>
        <v>13345.038765672338</v>
      </c>
      <c r="AI4" s="48">
        <f t="shared" si="0"/>
        <v>13478.489153329061</v>
      </c>
      <c r="AJ4" s="48">
        <f t="shared" si="0"/>
        <v>13613.274044862352</v>
      </c>
      <c r="AK4" s="48">
        <f t="shared" si="0"/>
        <v>13749.406785310975</v>
      </c>
      <c r="AL4" s="48">
        <f t="shared" si="0"/>
        <v>13886.900853164085</v>
      </c>
      <c r="AM4" s="48">
        <f t="shared" si="0"/>
        <v>14025.769861695726</v>
      </c>
      <c r="AN4" s="48">
        <f t="shared" si="0"/>
        <v>14166.027560312683</v>
      </c>
      <c r="AO4" s="48">
        <f t="shared" si="0"/>
        <v>14307.687835915809</v>
      </c>
      <c r="AP4" s="48">
        <f t="shared" si="0"/>
        <v>14450.764714274967</v>
      </c>
      <c r="AQ4" s="48">
        <f t="shared" si="0"/>
        <v>14595.272361417716</v>
      </c>
      <c r="AR4" s="48">
        <f t="shared" si="0"/>
        <v>14741.225085031892</v>
      </c>
      <c r="AS4" s="48">
        <f t="shared" si="0"/>
        <v>14888.637335882211</v>
      </c>
      <c r="AT4" s="48">
        <f t="shared" si="0"/>
        <v>15037.523709241033</v>
      </c>
      <c r="AU4" s="48">
        <f t="shared" si="0"/>
        <v>15187.898946333444</v>
      </c>
      <c r="AV4" s="48">
        <f t="shared" si="0"/>
        <v>15339.777935796777</v>
      </c>
      <c r="AW4" s="48">
        <f t="shared" si="0"/>
        <v>15493.175715154744</v>
      </c>
      <c r="AX4" s="48">
        <f t="shared" si="0"/>
        <v>15648.107472306292</v>
      </c>
      <c r="AY4" s="48">
        <f t="shared" si="0"/>
        <v>15804.588547029354</v>
      </c>
      <c r="AZ4" s="48">
        <f t="shared" si="0"/>
        <v>15962.634432499648</v>
      </c>
      <c r="BA4" s="48">
        <f t="shared" si="0"/>
        <v>16122.260776824645</v>
      </c>
      <c r="BB4" s="48">
        <f t="shared" si="0"/>
        <v>16283.483384592892</v>
      </c>
      <c r="BC4" s="48">
        <f t="shared" si="0"/>
        <v>16446.318218438821</v>
      </c>
      <c r="BD4" s="48">
        <f t="shared" si="0"/>
        <v>16610.781400623207</v>
      </c>
      <c r="BE4" s="48">
        <f t="shared" si="0"/>
        <v>16776.889214629438</v>
      </c>
      <c r="BF4" s="48">
        <f t="shared" si="0"/>
        <v>16944.658106775732</v>
      </c>
      <c r="BG4" s="48">
        <f t="shared" si="0"/>
        <v>17114.10468784349</v>
      </c>
      <c r="BH4" s="48">
        <f t="shared" si="0"/>
        <v>17285.245734721924</v>
      </c>
      <c r="BI4" s="48">
        <f t="shared" si="0"/>
        <v>17458.098192069145</v>
      </c>
    </row>
    <row r="5" spans="1:61" x14ac:dyDescent="0.25">
      <c r="A5" s="59" t="s">
        <v>162</v>
      </c>
      <c r="B5" s="50">
        <v>0.01</v>
      </c>
      <c r="C5" s="50">
        <v>0.01</v>
      </c>
      <c r="D5" s="50">
        <v>0.01</v>
      </c>
      <c r="E5" s="50">
        <v>0.01</v>
      </c>
      <c r="F5" s="50">
        <v>0.01</v>
      </c>
      <c r="G5" s="50">
        <v>0.01</v>
      </c>
      <c r="H5" s="50">
        <v>0.01</v>
      </c>
      <c r="I5" s="50">
        <v>0.01</v>
      </c>
      <c r="J5" s="50">
        <v>0.01</v>
      </c>
      <c r="K5" s="50">
        <v>0.01</v>
      </c>
      <c r="L5" s="50">
        <v>0.01</v>
      </c>
      <c r="M5" s="50">
        <v>0.01</v>
      </c>
      <c r="N5" s="50">
        <v>0.01</v>
      </c>
      <c r="O5" s="50">
        <v>0.01</v>
      </c>
      <c r="P5" s="50">
        <v>0.01</v>
      </c>
      <c r="Q5" s="50">
        <v>0.01</v>
      </c>
      <c r="R5" s="50">
        <v>0.01</v>
      </c>
      <c r="S5" s="50">
        <v>0.01</v>
      </c>
      <c r="T5" s="50">
        <v>0.01</v>
      </c>
      <c r="U5" s="50">
        <v>0.01</v>
      </c>
      <c r="V5" s="50">
        <v>0.01</v>
      </c>
      <c r="W5" s="50">
        <v>0.01</v>
      </c>
      <c r="X5" s="50">
        <v>0.01</v>
      </c>
      <c r="Y5" s="50">
        <v>0.01</v>
      </c>
      <c r="Z5" s="50">
        <v>0.01</v>
      </c>
      <c r="AA5" s="50">
        <v>0.01</v>
      </c>
      <c r="AB5" s="50">
        <v>0.01</v>
      </c>
      <c r="AC5" s="50">
        <v>0.01</v>
      </c>
      <c r="AD5" s="50">
        <v>0.01</v>
      </c>
      <c r="AE5" s="50">
        <v>0.01</v>
      </c>
      <c r="AF5" s="50">
        <v>0.01</v>
      </c>
      <c r="AG5" s="50">
        <v>0.01</v>
      </c>
      <c r="AH5" s="50">
        <v>0.01</v>
      </c>
      <c r="AI5" s="50">
        <v>0.01</v>
      </c>
      <c r="AJ5" s="50">
        <v>0.01</v>
      </c>
      <c r="AK5" s="50">
        <v>0.01</v>
      </c>
      <c r="AL5" s="50">
        <v>0.01</v>
      </c>
      <c r="AM5" s="50">
        <v>0.01</v>
      </c>
      <c r="AN5" s="50">
        <v>0.01</v>
      </c>
      <c r="AO5" s="50">
        <v>0.01</v>
      </c>
      <c r="AP5" s="50">
        <v>0.01</v>
      </c>
      <c r="AQ5" s="50">
        <v>0.01</v>
      </c>
      <c r="AR5" s="50">
        <v>0.01</v>
      </c>
      <c r="AS5" s="50">
        <v>0.01</v>
      </c>
      <c r="AT5" s="50">
        <v>0.01</v>
      </c>
      <c r="AU5" s="50">
        <v>0.01</v>
      </c>
      <c r="AV5" s="50">
        <v>0.01</v>
      </c>
      <c r="AW5" s="50">
        <v>0.01</v>
      </c>
      <c r="AX5" s="50">
        <v>0.01</v>
      </c>
      <c r="AY5" s="50">
        <v>0.01</v>
      </c>
      <c r="AZ5" s="50">
        <v>0.01</v>
      </c>
      <c r="BA5" s="50">
        <v>0.01</v>
      </c>
      <c r="BB5" s="50">
        <v>0.01</v>
      </c>
      <c r="BC5" s="50">
        <v>0.01</v>
      </c>
      <c r="BD5" s="50">
        <v>0.01</v>
      </c>
      <c r="BE5" s="50">
        <v>0.01</v>
      </c>
      <c r="BF5" s="50">
        <v>0.01</v>
      </c>
      <c r="BG5" s="50">
        <v>0.01</v>
      </c>
      <c r="BH5" s="50">
        <v>0.01</v>
      </c>
      <c r="BI5" s="50">
        <v>0.01</v>
      </c>
    </row>
    <row r="6" spans="1:61" x14ac:dyDescent="0.25">
      <c r="A6" s="59" t="s">
        <v>163</v>
      </c>
      <c r="B6" s="49">
        <v>0.5</v>
      </c>
      <c r="C6" s="48">
        <f>B6*(1+B7)</f>
        <v>0.505</v>
      </c>
      <c r="D6" s="48">
        <f t="shared" ref="D6:BI6" si="1">C6*(1+C7)</f>
        <v>0.51005</v>
      </c>
      <c r="E6" s="48">
        <f t="shared" si="1"/>
        <v>0.51515049999999996</v>
      </c>
      <c r="F6" s="48">
        <f t="shared" si="1"/>
        <v>0.52030200500000001</v>
      </c>
      <c r="G6" s="48">
        <f t="shared" si="1"/>
        <v>0.52550502504999996</v>
      </c>
      <c r="H6" s="48">
        <f t="shared" si="1"/>
        <v>0.53076007530049996</v>
      </c>
      <c r="I6" s="48">
        <f t="shared" si="1"/>
        <v>0.53606767605350492</v>
      </c>
      <c r="J6" s="48">
        <f t="shared" si="1"/>
        <v>0.54142835281404</v>
      </c>
      <c r="K6" s="48">
        <f t="shared" si="1"/>
        <v>0.54684263634218044</v>
      </c>
      <c r="L6" s="48">
        <f t="shared" si="1"/>
        <v>0.55231106270560226</v>
      </c>
      <c r="M6" s="48">
        <f t="shared" si="1"/>
        <v>0.55783417333265828</v>
      </c>
      <c r="N6" s="48">
        <f t="shared" si="1"/>
        <v>0.56341251506598489</v>
      </c>
      <c r="O6" s="48">
        <f t="shared" si="1"/>
        <v>0.56904664021664475</v>
      </c>
      <c r="P6" s="48">
        <f t="shared" si="1"/>
        <v>0.57473710661881117</v>
      </c>
      <c r="Q6" s="48">
        <f t="shared" si="1"/>
        <v>0.58048447768499933</v>
      </c>
      <c r="R6" s="48">
        <f t="shared" si="1"/>
        <v>0.58628932246184928</v>
      </c>
      <c r="S6" s="48">
        <f t="shared" si="1"/>
        <v>0.59215221568646781</v>
      </c>
      <c r="T6" s="48">
        <f t="shared" si="1"/>
        <v>0.59807373784333251</v>
      </c>
      <c r="U6" s="48">
        <f t="shared" si="1"/>
        <v>0.60405447522176581</v>
      </c>
      <c r="V6" s="48">
        <f t="shared" si="1"/>
        <v>0.61009501997398352</v>
      </c>
      <c r="W6" s="48">
        <f t="shared" si="1"/>
        <v>0.61619597017372341</v>
      </c>
      <c r="X6" s="48">
        <f t="shared" si="1"/>
        <v>0.62235792987546068</v>
      </c>
      <c r="Y6" s="48">
        <f t="shared" si="1"/>
        <v>0.62858150917421529</v>
      </c>
      <c r="Z6" s="48">
        <f t="shared" si="1"/>
        <v>0.63486732426595749</v>
      </c>
      <c r="AA6" s="48">
        <f t="shared" si="1"/>
        <v>0.64121599750861702</v>
      </c>
      <c r="AB6" s="48">
        <f t="shared" si="1"/>
        <v>0.64762815748370317</v>
      </c>
      <c r="AC6" s="48">
        <f t="shared" si="1"/>
        <v>0.65410443905854021</v>
      </c>
      <c r="AD6" s="48">
        <f t="shared" si="1"/>
        <v>0.66064548344912566</v>
      </c>
      <c r="AE6" s="48">
        <f t="shared" si="1"/>
        <v>0.66725193828361695</v>
      </c>
      <c r="AF6" s="48">
        <f t="shared" si="1"/>
        <v>0.67392445766645315</v>
      </c>
      <c r="AG6" s="48">
        <f t="shared" si="1"/>
        <v>0.68066370224311767</v>
      </c>
      <c r="AH6" s="48">
        <f t="shared" si="1"/>
        <v>0.6874703392655489</v>
      </c>
      <c r="AI6" s="48">
        <f t="shared" si="1"/>
        <v>0.6943450426582044</v>
      </c>
      <c r="AJ6" s="48">
        <f t="shared" si="1"/>
        <v>0.70128849308478647</v>
      </c>
      <c r="AK6" s="48">
        <f t="shared" si="1"/>
        <v>0.70830137801563431</v>
      </c>
      <c r="AL6" s="48">
        <f t="shared" si="1"/>
        <v>0.71538439179579061</v>
      </c>
      <c r="AM6" s="48">
        <f t="shared" si="1"/>
        <v>0.72253823571374853</v>
      </c>
      <c r="AN6" s="48">
        <f t="shared" si="1"/>
        <v>0.72976361807088608</v>
      </c>
      <c r="AO6" s="48">
        <f t="shared" si="1"/>
        <v>0.73706125425159497</v>
      </c>
      <c r="AP6" s="48">
        <f t="shared" si="1"/>
        <v>0.74443186679411089</v>
      </c>
      <c r="AQ6" s="48">
        <f t="shared" si="1"/>
        <v>0.75187618546205204</v>
      </c>
      <c r="AR6" s="48">
        <f t="shared" si="1"/>
        <v>0.75939494731667256</v>
      </c>
      <c r="AS6" s="48">
        <f t="shared" si="1"/>
        <v>0.76698889678983928</v>
      </c>
      <c r="AT6" s="48">
        <f t="shared" si="1"/>
        <v>0.77465878575773772</v>
      </c>
      <c r="AU6" s="48">
        <f t="shared" si="1"/>
        <v>0.78240537361531515</v>
      </c>
      <c r="AV6" s="48">
        <f t="shared" si="1"/>
        <v>0.79022942735146828</v>
      </c>
      <c r="AW6" s="48">
        <f t="shared" si="1"/>
        <v>0.79813172162498303</v>
      </c>
      <c r="AX6" s="48">
        <f t="shared" si="1"/>
        <v>0.80611303884123287</v>
      </c>
      <c r="AY6" s="48">
        <f t="shared" si="1"/>
        <v>0.81417416922964525</v>
      </c>
      <c r="AZ6" s="48">
        <f t="shared" si="1"/>
        <v>0.82231591092194167</v>
      </c>
      <c r="BA6" s="48">
        <f t="shared" si="1"/>
        <v>0.83053907003116112</v>
      </c>
      <c r="BB6" s="48">
        <f t="shared" si="1"/>
        <v>0.83884446073147279</v>
      </c>
      <c r="BC6" s="48">
        <f t="shared" si="1"/>
        <v>0.84723290533878748</v>
      </c>
      <c r="BD6" s="48">
        <f t="shared" si="1"/>
        <v>0.85570523439217538</v>
      </c>
      <c r="BE6" s="48">
        <f t="shared" si="1"/>
        <v>0.86426228673609717</v>
      </c>
      <c r="BF6" s="48">
        <f t="shared" si="1"/>
        <v>0.87290490960345812</v>
      </c>
      <c r="BG6" s="48">
        <f t="shared" si="1"/>
        <v>0.88163395869949268</v>
      </c>
      <c r="BH6" s="48">
        <f t="shared" si="1"/>
        <v>0.89045029828648758</v>
      </c>
      <c r="BI6" s="48">
        <f t="shared" si="1"/>
        <v>0.89935480126935252</v>
      </c>
    </row>
    <row r="7" spans="1:61" x14ac:dyDescent="0.25">
      <c r="A7" s="59" t="s">
        <v>162</v>
      </c>
      <c r="B7" s="50">
        <v>0.01</v>
      </c>
      <c r="C7" s="50">
        <v>0.01</v>
      </c>
      <c r="D7" s="50">
        <v>0.01</v>
      </c>
      <c r="E7" s="50">
        <v>0.01</v>
      </c>
      <c r="F7" s="50">
        <v>0.01</v>
      </c>
      <c r="G7" s="50">
        <v>0.01</v>
      </c>
      <c r="H7" s="50">
        <v>0.01</v>
      </c>
      <c r="I7" s="50">
        <v>0.01</v>
      </c>
      <c r="J7" s="50">
        <v>0.01</v>
      </c>
      <c r="K7" s="50">
        <v>0.01</v>
      </c>
      <c r="L7" s="50">
        <v>0.01</v>
      </c>
      <c r="M7" s="50">
        <v>0.01</v>
      </c>
      <c r="N7" s="50">
        <v>0.01</v>
      </c>
      <c r="O7" s="50">
        <v>0.01</v>
      </c>
      <c r="P7" s="50">
        <v>0.01</v>
      </c>
      <c r="Q7" s="50">
        <v>0.01</v>
      </c>
      <c r="R7" s="50">
        <v>0.01</v>
      </c>
      <c r="S7" s="50">
        <v>0.01</v>
      </c>
      <c r="T7" s="50">
        <v>0.01</v>
      </c>
      <c r="U7" s="50">
        <v>0.01</v>
      </c>
      <c r="V7" s="50">
        <v>0.01</v>
      </c>
      <c r="W7" s="50">
        <v>0.01</v>
      </c>
      <c r="X7" s="50">
        <v>0.01</v>
      </c>
      <c r="Y7" s="50">
        <v>0.01</v>
      </c>
      <c r="Z7" s="50">
        <v>0.01</v>
      </c>
      <c r="AA7" s="50">
        <v>0.01</v>
      </c>
      <c r="AB7" s="50">
        <v>0.01</v>
      </c>
      <c r="AC7" s="50">
        <v>0.01</v>
      </c>
      <c r="AD7" s="50">
        <v>0.01</v>
      </c>
      <c r="AE7" s="50">
        <v>0.01</v>
      </c>
      <c r="AF7" s="50">
        <v>0.01</v>
      </c>
      <c r="AG7" s="50">
        <v>0.01</v>
      </c>
      <c r="AH7" s="50">
        <v>0.01</v>
      </c>
      <c r="AI7" s="50">
        <v>0.01</v>
      </c>
      <c r="AJ7" s="50">
        <v>0.01</v>
      </c>
      <c r="AK7" s="50">
        <v>0.01</v>
      </c>
      <c r="AL7" s="50">
        <v>0.01</v>
      </c>
      <c r="AM7" s="50">
        <v>0.01</v>
      </c>
      <c r="AN7" s="50">
        <v>0.01</v>
      </c>
      <c r="AO7" s="50">
        <v>0.01</v>
      </c>
      <c r="AP7" s="50">
        <v>0.01</v>
      </c>
      <c r="AQ7" s="50">
        <v>0.01</v>
      </c>
      <c r="AR7" s="50">
        <v>0.01</v>
      </c>
      <c r="AS7" s="50">
        <v>0.01</v>
      </c>
      <c r="AT7" s="50">
        <v>0.01</v>
      </c>
      <c r="AU7" s="50">
        <v>0.01</v>
      </c>
      <c r="AV7" s="50">
        <v>0.01</v>
      </c>
      <c r="AW7" s="50">
        <v>0.01</v>
      </c>
      <c r="AX7" s="50">
        <v>0.01</v>
      </c>
      <c r="AY7" s="50">
        <v>0.01</v>
      </c>
      <c r="AZ7" s="50">
        <v>0.01</v>
      </c>
      <c r="BA7" s="50">
        <v>0.01</v>
      </c>
      <c r="BB7" s="50">
        <v>0.01</v>
      </c>
      <c r="BC7" s="50">
        <v>0.01</v>
      </c>
      <c r="BD7" s="50">
        <v>0.01</v>
      </c>
      <c r="BE7" s="50">
        <v>0.01</v>
      </c>
      <c r="BF7" s="50">
        <v>0.01</v>
      </c>
      <c r="BG7" s="50">
        <v>0.01</v>
      </c>
      <c r="BH7" s="50">
        <v>0.01</v>
      </c>
      <c r="BI7" s="50">
        <v>0.01</v>
      </c>
    </row>
    <row r="8" spans="1:61" x14ac:dyDescent="0.25">
      <c r="A8" s="59" t="s">
        <v>164</v>
      </c>
      <c r="B8" s="60">
        <f>B4/B6</f>
        <v>0</v>
      </c>
      <c r="C8" s="60">
        <f t="shared" ref="C8:BI8" si="2">C4/C6</f>
        <v>0</v>
      </c>
      <c r="D8" s="60">
        <f t="shared" si="2"/>
        <v>0</v>
      </c>
      <c r="E8" s="60">
        <f t="shared" si="2"/>
        <v>19411.802958552889</v>
      </c>
      <c r="F8" s="60">
        <f t="shared" si="2"/>
        <v>19411.802958552889</v>
      </c>
      <c r="G8" s="60">
        <f t="shared" si="2"/>
        <v>19411.802958552889</v>
      </c>
      <c r="H8" s="60">
        <f t="shared" si="2"/>
        <v>19411.802958552889</v>
      </c>
      <c r="I8" s="60">
        <f t="shared" si="2"/>
        <v>19411.802958552893</v>
      </c>
      <c r="J8" s="60">
        <f t="shared" si="2"/>
        <v>19411.802958552893</v>
      </c>
      <c r="K8" s="60">
        <f t="shared" si="2"/>
        <v>19411.802958552889</v>
      </c>
      <c r="L8" s="60">
        <f t="shared" si="2"/>
        <v>19411.802958552889</v>
      </c>
      <c r="M8" s="60">
        <f t="shared" si="2"/>
        <v>19411.802958552893</v>
      </c>
      <c r="N8" s="60">
        <f t="shared" si="2"/>
        <v>19411.802958552889</v>
      </c>
      <c r="O8" s="60">
        <f t="shared" si="2"/>
        <v>19411.802958552889</v>
      </c>
      <c r="P8" s="60">
        <f t="shared" si="2"/>
        <v>19411.802958552889</v>
      </c>
      <c r="Q8" s="60">
        <f t="shared" si="2"/>
        <v>19411.802958552889</v>
      </c>
      <c r="R8" s="60">
        <f t="shared" si="2"/>
        <v>19411.802958552889</v>
      </c>
      <c r="S8" s="60">
        <f t="shared" si="2"/>
        <v>19411.802958552889</v>
      </c>
      <c r="T8" s="60">
        <f t="shared" si="2"/>
        <v>19411.802958552889</v>
      </c>
      <c r="U8" s="60">
        <f t="shared" si="2"/>
        <v>19411.802958552893</v>
      </c>
      <c r="V8" s="60">
        <f t="shared" si="2"/>
        <v>19411.802958552893</v>
      </c>
      <c r="W8" s="60">
        <f t="shared" si="2"/>
        <v>19411.802958552889</v>
      </c>
      <c r="X8" s="60">
        <f t="shared" si="2"/>
        <v>19411.802958552889</v>
      </c>
      <c r="Y8" s="60">
        <f t="shared" si="2"/>
        <v>19411.802958552886</v>
      </c>
      <c r="Z8" s="60">
        <f t="shared" si="2"/>
        <v>19411.802958552886</v>
      </c>
      <c r="AA8" s="60">
        <f t="shared" si="2"/>
        <v>19411.802958552889</v>
      </c>
      <c r="AB8" s="60">
        <f t="shared" si="2"/>
        <v>19411.802958552889</v>
      </c>
      <c r="AC8" s="60">
        <f t="shared" si="2"/>
        <v>19411.802958552889</v>
      </c>
      <c r="AD8" s="60">
        <f t="shared" si="2"/>
        <v>19411.802958552889</v>
      </c>
      <c r="AE8" s="60">
        <f t="shared" si="2"/>
        <v>19411.802958552889</v>
      </c>
      <c r="AF8" s="60">
        <f t="shared" si="2"/>
        <v>19411.802958552886</v>
      </c>
      <c r="AG8" s="60">
        <f t="shared" si="2"/>
        <v>19411.802958552886</v>
      </c>
      <c r="AH8" s="60">
        <f t="shared" si="2"/>
        <v>19411.802958552886</v>
      </c>
      <c r="AI8" s="60">
        <f t="shared" si="2"/>
        <v>19411.802958552886</v>
      </c>
      <c r="AJ8" s="60">
        <f t="shared" si="2"/>
        <v>19411.802958552886</v>
      </c>
      <c r="AK8" s="60">
        <f t="shared" si="2"/>
        <v>19411.802958552886</v>
      </c>
      <c r="AL8" s="60">
        <f t="shared" si="2"/>
        <v>19411.802958552886</v>
      </c>
      <c r="AM8" s="60">
        <f t="shared" si="2"/>
        <v>19411.802958552886</v>
      </c>
      <c r="AN8" s="60">
        <f t="shared" si="2"/>
        <v>19411.802958552882</v>
      </c>
      <c r="AO8" s="60">
        <f t="shared" si="2"/>
        <v>19411.802958552882</v>
      </c>
      <c r="AP8" s="60">
        <f t="shared" si="2"/>
        <v>19411.802958552882</v>
      </c>
      <c r="AQ8" s="60">
        <f t="shared" si="2"/>
        <v>19411.802958552878</v>
      </c>
      <c r="AR8" s="60">
        <f t="shared" si="2"/>
        <v>19411.802958552878</v>
      </c>
      <c r="AS8" s="60">
        <f t="shared" si="2"/>
        <v>19411.802958552878</v>
      </c>
      <c r="AT8" s="60">
        <f t="shared" si="2"/>
        <v>19411.802958552878</v>
      </c>
      <c r="AU8" s="60">
        <f t="shared" si="2"/>
        <v>19411.802958552878</v>
      </c>
      <c r="AV8" s="60">
        <f t="shared" si="2"/>
        <v>19411.802958552875</v>
      </c>
      <c r="AW8" s="60">
        <f t="shared" si="2"/>
        <v>19411.802958552875</v>
      </c>
      <c r="AX8" s="60">
        <f t="shared" si="2"/>
        <v>19411.802958552875</v>
      </c>
      <c r="AY8" s="60">
        <f t="shared" si="2"/>
        <v>19411.802958552871</v>
      </c>
      <c r="AZ8" s="60">
        <f t="shared" si="2"/>
        <v>19411.802958552871</v>
      </c>
      <c r="BA8" s="60">
        <f t="shared" si="2"/>
        <v>19411.802958552875</v>
      </c>
      <c r="BB8" s="60">
        <f t="shared" si="2"/>
        <v>19411.802958552871</v>
      </c>
      <c r="BC8" s="60">
        <f t="shared" si="2"/>
        <v>19411.802958552871</v>
      </c>
      <c r="BD8" s="60">
        <f t="shared" si="2"/>
        <v>19411.802958552871</v>
      </c>
      <c r="BE8" s="60">
        <f t="shared" si="2"/>
        <v>19411.802958552867</v>
      </c>
      <c r="BF8" s="60">
        <f t="shared" si="2"/>
        <v>19411.802958552867</v>
      </c>
      <c r="BG8" s="60">
        <f t="shared" si="2"/>
        <v>19411.802958552867</v>
      </c>
      <c r="BH8" s="60">
        <f t="shared" si="2"/>
        <v>19411.802958552867</v>
      </c>
      <c r="BI8" s="60">
        <f t="shared" si="2"/>
        <v>19411.802958552867</v>
      </c>
    </row>
    <row r="9" spans="1:61" x14ac:dyDescent="0.25">
      <c r="A9" s="59" t="s">
        <v>165</v>
      </c>
      <c r="B9" s="20">
        <v>500</v>
      </c>
      <c r="C9" s="60">
        <f>B9*(1+B10)</f>
        <v>525</v>
      </c>
      <c r="D9" s="60">
        <f t="shared" ref="D9:BI9" si="3">C9*(1+C10)</f>
        <v>551.25</v>
      </c>
      <c r="E9" s="60">
        <f t="shared" si="3"/>
        <v>578.8125</v>
      </c>
      <c r="F9" s="60">
        <f t="shared" si="3"/>
        <v>607.75312500000007</v>
      </c>
      <c r="G9" s="60">
        <f t="shared" si="3"/>
        <v>638.14078125000015</v>
      </c>
      <c r="H9" s="60">
        <f t="shared" si="3"/>
        <v>670.04782031250022</v>
      </c>
      <c r="I9" s="60">
        <f t="shared" si="3"/>
        <v>703.55021132812522</v>
      </c>
      <c r="J9" s="60">
        <f t="shared" si="3"/>
        <v>738.72772189453156</v>
      </c>
      <c r="K9" s="60">
        <f t="shared" si="3"/>
        <v>775.66410798925813</v>
      </c>
      <c r="L9" s="60">
        <f t="shared" si="3"/>
        <v>814.44731338872111</v>
      </c>
      <c r="M9" s="60">
        <f t="shared" si="3"/>
        <v>855.16967905815716</v>
      </c>
      <c r="N9" s="60">
        <f t="shared" si="3"/>
        <v>897.92816301106507</v>
      </c>
      <c r="O9" s="60">
        <f t="shared" si="3"/>
        <v>942.82457116161834</v>
      </c>
      <c r="P9" s="60">
        <f t="shared" si="3"/>
        <v>989.96579971969925</v>
      </c>
      <c r="Q9" s="60">
        <f t="shared" si="3"/>
        <v>1039.4640897056843</v>
      </c>
      <c r="R9" s="60">
        <f t="shared" si="3"/>
        <v>1091.4372941909685</v>
      </c>
      <c r="S9" s="60">
        <f t="shared" si="3"/>
        <v>1146.0091589005169</v>
      </c>
      <c r="T9" s="60">
        <f t="shared" si="3"/>
        <v>1203.3096168455429</v>
      </c>
      <c r="U9" s="60">
        <f t="shared" si="3"/>
        <v>1263.4750976878202</v>
      </c>
      <c r="V9" s="60">
        <f t="shared" si="3"/>
        <v>1326.6488525722111</v>
      </c>
      <c r="W9" s="60">
        <f t="shared" si="3"/>
        <v>1392.9812952008217</v>
      </c>
      <c r="X9" s="60">
        <f t="shared" si="3"/>
        <v>1462.630359960863</v>
      </c>
      <c r="Y9" s="60">
        <f t="shared" si="3"/>
        <v>1535.7618779589061</v>
      </c>
      <c r="Z9" s="60">
        <f t="shared" si="3"/>
        <v>1612.5499718568515</v>
      </c>
      <c r="AA9" s="60">
        <f t="shared" si="3"/>
        <v>1693.1774704496941</v>
      </c>
      <c r="AB9" s="60">
        <f t="shared" si="3"/>
        <v>1777.8363439721788</v>
      </c>
      <c r="AC9" s="60">
        <f t="shared" si="3"/>
        <v>1866.7281611707879</v>
      </c>
      <c r="AD9" s="60">
        <f t="shared" si="3"/>
        <v>1960.0645692293274</v>
      </c>
      <c r="AE9" s="60">
        <f t="shared" si="3"/>
        <v>2058.0677976907937</v>
      </c>
      <c r="AF9" s="60">
        <f t="shared" si="3"/>
        <v>2160.9711875753333</v>
      </c>
      <c r="AG9" s="60">
        <f t="shared" si="3"/>
        <v>2269.0197469540999</v>
      </c>
      <c r="AH9" s="60">
        <f t="shared" si="3"/>
        <v>2382.4707343018049</v>
      </c>
      <c r="AI9" s="60">
        <f t="shared" si="3"/>
        <v>2501.5942710168952</v>
      </c>
      <c r="AJ9" s="60">
        <f t="shared" si="3"/>
        <v>2626.6739845677398</v>
      </c>
      <c r="AK9" s="60">
        <f t="shared" si="3"/>
        <v>2758.0076837961269</v>
      </c>
      <c r="AL9" s="60">
        <f t="shared" si="3"/>
        <v>2895.9080679859335</v>
      </c>
      <c r="AM9" s="60">
        <f t="shared" si="3"/>
        <v>3040.7034713852304</v>
      </c>
      <c r="AN9" s="60">
        <f t="shared" si="3"/>
        <v>3192.738644954492</v>
      </c>
      <c r="AO9" s="60">
        <f t="shared" si="3"/>
        <v>3352.3755772022168</v>
      </c>
      <c r="AP9" s="60">
        <f t="shared" si="3"/>
        <v>3519.9943560623278</v>
      </c>
      <c r="AQ9" s="60">
        <f t="shared" si="3"/>
        <v>3695.9940738654445</v>
      </c>
      <c r="AR9" s="60">
        <f t="shared" si="3"/>
        <v>3880.793777558717</v>
      </c>
      <c r="AS9" s="60">
        <f t="shared" si="3"/>
        <v>4074.833466436653</v>
      </c>
      <c r="AT9" s="60">
        <f t="shared" si="3"/>
        <v>4278.5751397584854</v>
      </c>
      <c r="AU9" s="60">
        <f t="shared" si="3"/>
        <v>4492.5038967464097</v>
      </c>
      <c r="AV9" s="60">
        <f t="shared" si="3"/>
        <v>4717.1290915837308</v>
      </c>
      <c r="AW9" s="60">
        <f t="shared" si="3"/>
        <v>4952.9855461629177</v>
      </c>
      <c r="AX9" s="60">
        <f t="shared" si="3"/>
        <v>5200.634823471064</v>
      </c>
      <c r="AY9" s="60">
        <f t="shared" si="3"/>
        <v>5460.6665646446172</v>
      </c>
      <c r="AZ9" s="60">
        <f t="shared" si="3"/>
        <v>5733.699892876848</v>
      </c>
      <c r="BA9" s="60">
        <f t="shared" si="3"/>
        <v>6020.3848875206904</v>
      </c>
      <c r="BB9" s="60">
        <f t="shared" si="3"/>
        <v>6321.4041318967256</v>
      </c>
      <c r="BC9" s="60">
        <f t="shared" si="3"/>
        <v>6637.4743384915619</v>
      </c>
      <c r="BD9" s="60">
        <f t="shared" si="3"/>
        <v>6969.3480554161406</v>
      </c>
      <c r="BE9" s="60">
        <f t="shared" si="3"/>
        <v>7317.8154581869476</v>
      </c>
      <c r="BF9" s="60">
        <f t="shared" si="3"/>
        <v>7683.7062310962956</v>
      </c>
      <c r="BG9" s="60">
        <f t="shared" si="3"/>
        <v>8067.8915426511103</v>
      </c>
      <c r="BH9" s="60">
        <f t="shared" si="3"/>
        <v>8471.2861197836664</v>
      </c>
      <c r="BI9" s="60">
        <f t="shared" si="3"/>
        <v>8894.8504257728509</v>
      </c>
    </row>
    <row r="10" spans="1:61" x14ac:dyDescent="0.25">
      <c r="A10" s="59" t="s">
        <v>162</v>
      </c>
      <c r="B10" s="50">
        <v>0.05</v>
      </c>
      <c r="C10" s="50">
        <v>0.05</v>
      </c>
      <c r="D10" s="50">
        <v>0.05</v>
      </c>
      <c r="E10" s="50">
        <v>0.05</v>
      </c>
      <c r="F10" s="50">
        <v>0.05</v>
      </c>
      <c r="G10" s="50">
        <v>0.05</v>
      </c>
      <c r="H10" s="50">
        <v>0.05</v>
      </c>
      <c r="I10" s="50">
        <v>0.05</v>
      </c>
      <c r="J10" s="50">
        <v>0.05</v>
      </c>
      <c r="K10" s="50">
        <v>0.05</v>
      </c>
      <c r="L10" s="50">
        <v>0.05</v>
      </c>
      <c r="M10" s="50">
        <v>0.05</v>
      </c>
      <c r="N10" s="50">
        <v>0.05</v>
      </c>
      <c r="O10" s="50">
        <v>0.05</v>
      </c>
      <c r="P10" s="50">
        <v>0.05</v>
      </c>
      <c r="Q10" s="50">
        <v>0.05</v>
      </c>
      <c r="R10" s="50">
        <v>0.05</v>
      </c>
      <c r="S10" s="50">
        <v>0.05</v>
      </c>
      <c r="T10" s="50">
        <v>0.05</v>
      </c>
      <c r="U10" s="50">
        <v>0.05</v>
      </c>
      <c r="V10" s="50">
        <v>0.05</v>
      </c>
      <c r="W10" s="50">
        <v>0.05</v>
      </c>
      <c r="X10" s="50">
        <v>0.05</v>
      </c>
      <c r="Y10" s="50">
        <v>0.05</v>
      </c>
      <c r="Z10" s="50">
        <v>0.05</v>
      </c>
      <c r="AA10" s="50">
        <v>0.05</v>
      </c>
      <c r="AB10" s="50">
        <v>0.05</v>
      </c>
      <c r="AC10" s="50">
        <v>0.05</v>
      </c>
      <c r="AD10" s="50">
        <v>0.05</v>
      </c>
      <c r="AE10" s="50">
        <v>0.05</v>
      </c>
      <c r="AF10" s="50">
        <v>0.05</v>
      </c>
      <c r="AG10" s="50">
        <v>0.05</v>
      </c>
      <c r="AH10" s="50">
        <v>0.05</v>
      </c>
      <c r="AI10" s="50">
        <v>0.05</v>
      </c>
      <c r="AJ10" s="50">
        <v>0.05</v>
      </c>
      <c r="AK10" s="50">
        <v>0.05</v>
      </c>
      <c r="AL10" s="50">
        <v>0.05</v>
      </c>
      <c r="AM10" s="50">
        <v>0.05</v>
      </c>
      <c r="AN10" s="50">
        <v>0.05</v>
      </c>
      <c r="AO10" s="50">
        <v>0.05</v>
      </c>
      <c r="AP10" s="50">
        <v>0.05</v>
      </c>
      <c r="AQ10" s="50">
        <v>0.05</v>
      </c>
      <c r="AR10" s="50">
        <v>0.05</v>
      </c>
      <c r="AS10" s="50">
        <v>0.05</v>
      </c>
      <c r="AT10" s="50">
        <v>0.05</v>
      </c>
      <c r="AU10" s="50">
        <v>0.05</v>
      </c>
      <c r="AV10" s="50">
        <v>0.05</v>
      </c>
      <c r="AW10" s="50">
        <v>0.05</v>
      </c>
      <c r="AX10" s="50">
        <v>0.05</v>
      </c>
      <c r="AY10" s="50">
        <v>0.05</v>
      </c>
      <c r="AZ10" s="50">
        <v>0.05</v>
      </c>
      <c r="BA10" s="50">
        <v>0.05</v>
      </c>
      <c r="BB10" s="50">
        <v>0.05</v>
      </c>
      <c r="BC10" s="50">
        <v>0.05</v>
      </c>
      <c r="BD10" s="50">
        <v>0.05</v>
      </c>
      <c r="BE10" s="50">
        <v>0.05</v>
      </c>
      <c r="BF10" s="50">
        <v>0.05</v>
      </c>
      <c r="BG10" s="50">
        <v>0.05</v>
      </c>
      <c r="BH10" s="50">
        <v>0.05</v>
      </c>
      <c r="BI10" s="50">
        <v>0.05</v>
      </c>
    </row>
    <row r="11" spans="1:61" x14ac:dyDescent="0.25">
      <c r="A11" s="59" t="s">
        <v>166</v>
      </c>
      <c r="B11" s="20">
        <v>0</v>
      </c>
      <c r="C11" s="60">
        <f>B11*(1+B12)</f>
        <v>0</v>
      </c>
      <c r="D11" s="60">
        <f t="shared" ref="D11:BI11" si="4">C11*(1+C12)</f>
        <v>0</v>
      </c>
      <c r="E11" s="67">
        <v>1000</v>
      </c>
      <c r="F11" s="60">
        <f t="shared" si="4"/>
        <v>1010</v>
      </c>
      <c r="G11" s="60">
        <f t="shared" si="4"/>
        <v>1020.1</v>
      </c>
      <c r="H11" s="60">
        <f t="shared" si="4"/>
        <v>1030.3009999999999</v>
      </c>
      <c r="I11" s="60">
        <f t="shared" si="4"/>
        <v>1040.60401</v>
      </c>
      <c r="J11" s="60">
        <f t="shared" si="4"/>
        <v>1051.0100500999999</v>
      </c>
      <c r="K11" s="60">
        <f t="shared" si="4"/>
        <v>1061.5201506009998</v>
      </c>
      <c r="L11" s="60">
        <f t="shared" si="4"/>
        <v>1072.1353521070098</v>
      </c>
      <c r="M11" s="60">
        <f t="shared" si="4"/>
        <v>1082.8567056280799</v>
      </c>
      <c r="N11" s="60">
        <f t="shared" si="4"/>
        <v>1093.6852726843608</v>
      </c>
      <c r="O11" s="60">
        <f t="shared" si="4"/>
        <v>1104.6221254112045</v>
      </c>
      <c r="P11" s="60">
        <f t="shared" si="4"/>
        <v>1115.6683466653164</v>
      </c>
      <c r="Q11" s="60">
        <f t="shared" si="4"/>
        <v>1126.8250301319697</v>
      </c>
      <c r="R11" s="60">
        <f t="shared" si="4"/>
        <v>1138.0932804332895</v>
      </c>
      <c r="S11" s="60">
        <f t="shared" si="4"/>
        <v>1149.4742132376223</v>
      </c>
      <c r="T11" s="60">
        <f t="shared" si="4"/>
        <v>1160.9689553699984</v>
      </c>
      <c r="U11" s="60">
        <f t="shared" si="4"/>
        <v>1172.5786449236984</v>
      </c>
      <c r="V11" s="60">
        <f t="shared" si="4"/>
        <v>1184.3044313729354</v>
      </c>
      <c r="W11" s="60">
        <f t="shared" si="4"/>
        <v>1196.1474756866646</v>
      </c>
      <c r="X11" s="60">
        <f t="shared" si="4"/>
        <v>1208.1089504435313</v>
      </c>
      <c r="Y11" s="60">
        <f t="shared" si="4"/>
        <v>1220.1900399479666</v>
      </c>
      <c r="Z11" s="60">
        <f t="shared" si="4"/>
        <v>1232.3919403474463</v>
      </c>
      <c r="AA11" s="60">
        <f t="shared" si="4"/>
        <v>1244.7158597509208</v>
      </c>
      <c r="AB11" s="60">
        <f t="shared" si="4"/>
        <v>1257.1630183484301</v>
      </c>
      <c r="AC11" s="60">
        <f t="shared" si="4"/>
        <v>1269.7346485319144</v>
      </c>
      <c r="AD11" s="60">
        <f t="shared" si="4"/>
        <v>1282.4319950172337</v>
      </c>
      <c r="AE11" s="60">
        <f t="shared" si="4"/>
        <v>1295.2563149674061</v>
      </c>
      <c r="AF11" s="60">
        <f t="shared" si="4"/>
        <v>1308.2088781170801</v>
      </c>
      <c r="AG11" s="60">
        <f t="shared" si="4"/>
        <v>1321.2909668982509</v>
      </c>
      <c r="AH11" s="60">
        <f t="shared" si="4"/>
        <v>1334.5038765672334</v>
      </c>
      <c r="AI11" s="60">
        <f t="shared" si="4"/>
        <v>1347.8489153329058</v>
      </c>
      <c r="AJ11" s="60">
        <f t="shared" si="4"/>
        <v>1361.3274044862349</v>
      </c>
      <c r="AK11" s="60">
        <f t="shared" si="4"/>
        <v>1374.9406785310973</v>
      </c>
      <c r="AL11" s="60">
        <f t="shared" si="4"/>
        <v>1388.6900853164084</v>
      </c>
      <c r="AM11" s="60">
        <f t="shared" si="4"/>
        <v>1402.5769861695726</v>
      </c>
      <c r="AN11" s="60">
        <f t="shared" si="4"/>
        <v>1416.6027560312684</v>
      </c>
      <c r="AO11" s="60">
        <f t="shared" si="4"/>
        <v>1430.768783591581</v>
      </c>
      <c r="AP11" s="60">
        <f t="shared" si="4"/>
        <v>1445.0764714274969</v>
      </c>
      <c r="AQ11" s="60">
        <f t="shared" si="4"/>
        <v>1459.5272361417719</v>
      </c>
      <c r="AR11" s="60">
        <f t="shared" si="4"/>
        <v>1474.1225085031897</v>
      </c>
      <c r="AS11" s="60">
        <f t="shared" si="4"/>
        <v>1488.8637335882215</v>
      </c>
      <c r="AT11" s="60">
        <f t="shared" si="4"/>
        <v>1503.7523709241038</v>
      </c>
      <c r="AU11" s="60">
        <f t="shared" si="4"/>
        <v>1518.7898946333448</v>
      </c>
      <c r="AV11" s="60">
        <f t="shared" si="4"/>
        <v>1533.9777935796783</v>
      </c>
      <c r="AW11" s="60">
        <f t="shared" si="4"/>
        <v>1549.317571515475</v>
      </c>
      <c r="AX11" s="60">
        <f t="shared" si="4"/>
        <v>1564.8107472306299</v>
      </c>
      <c r="AY11" s="60">
        <f t="shared" si="4"/>
        <v>1580.4588547029362</v>
      </c>
      <c r="AZ11" s="60">
        <f t="shared" si="4"/>
        <v>1596.2634432499656</v>
      </c>
      <c r="BA11" s="60">
        <f t="shared" si="4"/>
        <v>1612.2260776824653</v>
      </c>
      <c r="BB11" s="60">
        <f t="shared" si="4"/>
        <v>1628.3483384592901</v>
      </c>
      <c r="BC11" s="60">
        <f t="shared" si="4"/>
        <v>1644.631821843883</v>
      </c>
      <c r="BD11" s="60">
        <f t="shared" si="4"/>
        <v>1661.0781400623218</v>
      </c>
      <c r="BE11" s="60">
        <f t="shared" si="4"/>
        <v>1677.688921462945</v>
      </c>
      <c r="BF11" s="60">
        <f t="shared" si="4"/>
        <v>1694.4658106775744</v>
      </c>
      <c r="BG11" s="60">
        <f t="shared" si="4"/>
        <v>1711.4104687843501</v>
      </c>
      <c r="BH11" s="60">
        <f t="shared" si="4"/>
        <v>1728.5245734721937</v>
      </c>
      <c r="BI11" s="60">
        <f t="shared" si="4"/>
        <v>1745.8098192069156</v>
      </c>
    </row>
    <row r="12" spans="1:61" x14ac:dyDescent="0.25">
      <c r="A12" s="59" t="s">
        <v>162</v>
      </c>
      <c r="B12" s="50">
        <v>0.01</v>
      </c>
      <c r="C12" s="50">
        <v>0.01</v>
      </c>
      <c r="D12" s="50">
        <v>0.01</v>
      </c>
      <c r="E12" s="50">
        <v>0.01</v>
      </c>
      <c r="F12" s="50">
        <v>0.01</v>
      </c>
      <c r="G12" s="50">
        <v>0.01</v>
      </c>
      <c r="H12" s="50">
        <v>0.01</v>
      </c>
      <c r="I12" s="50">
        <v>0.01</v>
      </c>
      <c r="J12" s="50">
        <v>0.01</v>
      </c>
      <c r="K12" s="50">
        <v>0.01</v>
      </c>
      <c r="L12" s="50">
        <v>0.01</v>
      </c>
      <c r="M12" s="50">
        <v>0.01</v>
      </c>
      <c r="N12" s="50">
        <v>0.01</v>
      </c>
      <c r="O12" s="50">
        <v>0.01</v>
      </c>
      <c r="P12" s="50">
        <v>0.01</v>
      </c>
      <c r="Q12" s="50">
        <v>0.01</v>
      </c>
      <c r="R12" s="50">
        <v>0.01</v>
      </c>
      <c r="S12" s="50">
        <v>0.01</v>
      </c>
      <c r="T12" s="50">
        <v>0.01</v>
      </c>
      <c r="U12" s="50">
        <v>0.01</v>
      </c>
      <c r="V12" s="50">
        <v>0.01</v>
      </c>
      <c r="W12" s="50">
        <v>0.01</v>
      </c>
      <c r="X12" s="50">
        <v>0.01</v>
      </c>
      <c r="Y12" s="50">
        <v>0.01</v>
      </c>
      <c r="Z12" s="50">
        <v>0.01</v>
      </c>
      <c r="AA12" s="50">
        <v>0.01</v>
      </c>
      <c r="AB12" s="50">
        <v>0.01</v>
      </c>
      <c r="AC12" s="50">
        <v>0.01</v>
      </c>
      <c r="AD12" s="50">
        <v>0.01</v>
      </c>
      <c r="AE12" s="50">
        <v>0.01</v>
      </c>
      <c r="AF12" s="50">
        <v>0.01</v>
      </c>
      <c r="AG12" s="50">
        <v>0.01</v>
      </c>
      <c r="AH12" s="50">
        <v>0.01</v>
      </c>
      <c r="AI12" s="50">
        <v>0.01</v>
      </c>
      <c r="AJ12" s="50">
        <v>0.01</v>
      </c>
      <c r="AK12" s="50">
        <v>0.01</v>
      </c>
      <c r="AL12" s="50">
        <v>0.01</v>
      </c>
      <c r="AM12" s="50">
        <v>0.01</v>
      </c>
      <c r="AN12" s="50">
        <v>0.01</v>
      </c>
      <c r="AO12" s="50">
        <v>0.01</v>
      </c>
      <c r="AP12" s="50">
        <v>0.01</v>
      </c>
      <c r="AQ12" s="50">
        <v>0.01</v>
      </c>
      <c r="AR12" s="50">
        <v>0.01</v>
      </c>
      <c r="AS12" s="50">
        <v>0.01</v>
      </c>
      <c r="AT12" s="50">
        <v>0.01</v>
      </c>
      <c r="AU12" s="50">
        <v>0.01</v>
      </c>
      <c r="AV12" s="50">
        <v>0.01</v>
      </c>
      <c r="AW12" s="50">
        <v>0.01</v>
      </c>
      <c r="AX12" s="50">
        <v>0.01</v>
      </c>
      <c r="AY12" s="50">
        <v>0.01</v>
      </c>
      <c r="AZ12" s="50">
        <v>0.01</v>
      </c>
      <c r="BA12" s="50">
        <v>0.01</v>
      </c>
      <c r="BB12" s="50">
        <v>0.01</v>
      </c>
      <c r="BC12" s="50">
        <v>0.01</v>
      </c>
      <c r="BD12" s="50">
        <v>0.01</v>
      </c>
      <c r="BE12" s="50">
        <v>0.01</v>
      </c>
      <c r="BF12" s="50">
        <v>0.01</v>
      </c>
      <c r="BG12" s="50">
        <v>0.01</v>
      </c>
      <c r="BH12" s="50">
        <v>0.01</v>
      </c>
      <c r="BI12" s="50">
        <v>0.01</v>
      </c>
    </row>
    <row r="13" spans="1:61" x14ac:dyDescent="0.25">
      <c r="A13" s="59" t="s">
        <v>167</v>
      </c>
      <c r="B13" s="20">
        <v>0</v>
      </c>
      <c r="C13" s="60">
        <f>B13*(1+B14)</f>
        <v>0</v>
      </c>
      <c r="D13" s="60">
        <f t="shared" ref="D13:BI13" si="5">C13*(1+C14)</f>
        <v>0</v>
      </c>
      <c r="E13" s="67">
        <v>500</v>
      </c>
      <c r="F13" s="60">
        <f t="shared" si="5"/>
        <v>505</v>
      </c>
      <c r="G13" s="60">
        <f t="shared" si="5"/>
        <v>510.05</v>
      </c>
      <c r="H13" s="60">
        <f t="shared" si="5"/>
        <v>515.15049999999997</v>
      </c>
      <c r="I13" s="60">
        <f t="shared" si="5"/>
        <v>520.30200500000001</v>
      </c>
      <c r="J13" s="60">
        <f t="shared" si="5"/>
        <v>525.50502504999997</v>
      </c>
      <c r="K13" s="60">
        <f t="shared" si="5"/>
        <v>530.76007530049992</v>
      </c>
      <c r="L13" s="60">
        <f t="shared" si="5"/>
        <v>536.0676760535049</v>
      </c>
      <c r="M13" s="60">
        <f t="shared" si="5"/>
        <v>541.42835281403995</v>
      </c>
      <c r="N13" s="60">
        <f t="shared" si="5"/>
        <v>546.84263634218041</v>
      </c>
      <c r="O13" s="60">
        <f t="shared" si="5"/>
        <v>552.31106270560224</v>
      </c>
      <c r="P13" s="60">
        <f t="shared" si="5"/>
        <v>557.83417333265822</v>
      </c>
      <c r="Q13" s="60">
        <f t="shared" si="5"/>
        <v>563.41251506598485</v>
      </c>
      <c r="R13" s="60">
        <f t="shared" si="5"/>
        <v>569.04664021664473</v>
      </c>
      <c r="S13" s="60">
        <f t="shared" si="5"/>
        <v>574.73710661881114</v>
      </c>
      <c r="T13" s="60">
        <f t="shared" si="5"/>
        <v>580.48447768499921</v>
      </c>
      <c r="U13" s="60">
        <f t="shared" si="5"/>
        <v>586.28932246184922</v>
      </c>
      <c r="V13" s="60">
        <f t="shared" si="5"/>
        <v>592.15221568646768</v>
      </c>
      <c r="W13" s="60">
        <f t="shared" si="5"/>
        <v>598.07373784333231</v>
      </c>
      <c r="X13" s="60">
        <f t="shared" si="5"/>
        <v>604.05447522176564</v>
      </c>
      <c r="Y13" s="60">
        <f t="shared" si="5"/>
        <v>610.09501997398331</v>
      </c>
      <c r="Z13" s="60">
        <f t="shared" si="5"/>
        <v>616.19597017372314</v>
      </c>
      <c r="AA13" s="60">
        <f t="shared" si="5"/>
        <v>622.3579298754604</v>
      </c>
      <c r="AB13" s="60">
        <f t="shared" si="5"/>
        <v>628.58150917421506</v>
      </c>
      <c r="AC13" s="60">
        <f t="shared" si="5"/>
        <v>634.86732426595722</v>
      </c>
      <c r="AD13" s="60">
        <f t="shared" si="5"/>
        <v>641.21599750861685</v>
      </c>
      <c r="AE13" s="60">
        <f t="shared" si="5"/>
        <v>647.62815748370303</v>
      </c>
      <c r="AF13" s="60">
        <f t="shared" si="5"/>
        <v>654.10443905854004</v>
      </c>
      <c r="AG13" s="60">
        <f t="shared" si="5"/>
        <v>660.64548344912544</v>
      </c>
      <c r="AH13" s="60">
        <f t="shared" si="5"/>
        <v>667.25193828361671</v>
      </c>
      <c r="AI13" s="60">
        <f t="shared" si="5"/>
        <v>673.92445766645289</v>
      </c>
      <c r="AJ13" s="60">
        <f t="shared" si="5"/>
        <v>680.66370224311743</v>
      </c>
      <c r="AK13" s="60">
        <f t="shared" si="5"/>
        <v>687.47033926554866</v>
      </c>
      <c r="AL13" s="60">
        <f t="shared" si="5"/>
        <v>694.34504265820419</v>
      </c>
      <c r="AM13" s="60">
        <f t="shared" si="5"/>
        <v>701.2884930847863</v>
      </c>
      <c r="AN13" s="60">
        <f t="shared" si="5"/>
        <v>708.30137801563421</v>
      </c>
      <c r="AO13" s="60">
        <f t="shared" si="5"/>
        <v>715.38439179579052</v>
      </c>
      <c r="AP13" s="60">
        <f t="shared" si="5"/>
        <v>722.53823571374846</v>
      </c>
      <c r="AQ13" s="60">
        <f t="shared" si="5"/>
        <v>729.76361807088597</v>
      </c>
      <c r="AR13" s="60">
        <f t="shared" si="5"/>
        <v>737.06125425159485</v>
      </c>
      <c r="AS13" s="60">
        <f t="shared" si="5"/>
        <v>744.43186679411076</v>
      </c>
      <c r="AT13" s="60">
        <f t="shared" si="5"/>
        <v>751.87618546205192</v>
      </c>
      <c r="AU13" s="60">
        <f t="shared" si="5"/>
        <v>759.39494731667241</v>
      </c>
      <c r="AV13" s="60">
        <f t="shared" si="5"/>
        <v>766.98889678983915</v>
      </c>
      <c r="AW13" s="60">
        <f t="shared" si="5"/>
        <v>774.65878575773752</v>
      </c>
      <c r="AX13" s="60">
        <f t="shared" si="5"/>
        <v>782.40537361531494</v>
      </c>
      <c r="AY13" s="60">
        <f t="shared" si="5"/>
        <v>790.22942735146808</v>
      </c>
      <c r="AZ13" s="60">
        <f t="shared" si="5"/>
        <v>798.13172162498279</v>
      </c>
      <c r="BA13" s="60">
        <f t="shared" si="5"/>
        <v>806.11303884123265</v>
      </c>
      <c r="BB13" s="60">
        <f t="shared" si="5"/>
        <v>814.17416922964503</v>
      </c>
      <c r="BC13" s="60">
        <f t="shared" si="5"/>
        <v>822.31591092194151</v>
      </c>
      <c r="BD13" s="60">
        <f t="shared" si="5"/>
        <v>830.53907003116092</v>
      </c>
      <c r="BE13" s="60">
        <f t="shared" si="5"/>
        <v>838.84446073147251</v>
      </c>
      <c r="BF13" s="60">
        <f t="shared" si="5"/>
        <v>847.23290533878719</v>
      </c>
      <c r="BG13" s="60">
        <f t="shared" si="5"/>
        <v>855.70523439217504</v>
      </c>
      <c r="BH13" s="60">
        <f t="shared" si="5"/>
        <v>864.26228673609683</v>
      </c>
      <c r="BI13" s="60">
        <f t="shared" si="5"/>
        <v>872.90490960345778</v>
      </c>
    </row>
    <row r="14" spans="1:61" x14ac:dyDescent="0.25">
      <c r="A14" s="59" t="s">
        <v>162</v>
      </c>
      <c r="B14" s="50">
        <v>0.01</v>
      </c>
      <c r="C14" s="50">
        <v>0.01</v>
      </c>
      <c r="D14" s="50">
        <v>0.01</v>
      </c>
      <c r="E14" s="50">
        <v>0.01</v>
      </c>
      <c r="F14" s="50">
        <v>0.01</v>
      </c>
      <c r="G14" s="50">
        <v>0.01</v>
      </c>
      <c r="H14" s="50">
        <v>0.01</v>
      </c>
      <c r="I14" s="50">
        <v>0.01</v>
      </c>
      <c r="J14" s="50">
        <v>0.01</v>
      </c>
      <c r="K14" s="50">
        <v>0.01</v>
      </c>
      <c r="L14" s="50">
        <v>0.01</v>
      </c>
      <c r="M14" s="50">
        <v>0.01</v>
      </c>
      <c r="N14" s="50">
        <v>0.01</v>
      </c>
      <c r="O14" s="50">
        <v>0.01</v>
      </c>
      <c r="P14" s="50">
        <v>0.01</v>
      </c>
      <c r="Q14" s="50">
        <v>0.01</v>
      </c>
      <c r="R14" s="50">
        <v>0.01</v>
      </c>
      <c r="S14" s="50">
        <v>0.01</v>
      </c>
      <c r="T14" s="50">
        <v>0.01</v>
      </c>
      <c r="U14" s="50">
        <v>0.01</v>
      </c>
      <c r="V14" s="50">
        <v>0.01</v>
      </c>
      <c r="W14" s="50">
        <v>0.01</v>
      </c>
      <c r="X14" s="50">
        <v>0.01</v>
      </c>
      <c r="Y14" s="50">
        <v>0.01</v>
      </c>
      <c r="Z14" s="50">
        <v>0.01</v>
      </c>
      <c r="AA14" s="50">
        <v>0.01</v>
      </c>
      <c r="AB14" s="50">
        <v>0.01</v>
      </c>
      <c r="AC14" s="50">
        <v>0.01</v>
      </c>
      <c r="AD14" s="50">
        <v>0.01</v>
      </c>
      <c r="AE14" s="50">
        <v>0.01</v>
      </c>
      <c r="AF14" s="50">
        <v>0.01</v>
      </c>
      <c r="AG14" s="50">
        <v>0.01</v>
      </c>
      <c r="AH14" s="50">
        <v>0.01</v>
      </c>
      <c r="AI14" s="50">
        <v>0.01</v>
      </c>
      <c r="AJ14" s="50">
        <v>0.01</v>
      </c>
      <c r="AK14" s="50">
        <v>0.01</v>
      </c>
      <c r="AL14" s="50">
        <v>0.01</v>
      </c>
      <c r="AM14" s="50">
        <v>0.01</v>
      </c>
      <c r="AN14" s="50">
        <v>0.01</v>
      </c>
      <c r="AO14" s="50">
        <v>0.01</v>
      </c>
      <c r="AP14" s="50">
        <v>0.01</v>
      </c>
      <c r="AQ14" s="50">
        <v>0.01</v>
      </c>
      <c r="AR14" s="50">
        <v>0.01</v>
      </c>
      <c r="AS14" s="50">
        <v>0.01</v>
      </c>
      <c r="AT14" s="50">
        <v>0.01</v>
      </c>
      <c r="AU14" s="50">
        <v>0.01</v>
      </c>
      <c r="AV14" s="50">
        <v>0.01</v>
      </c>
      <c r="AW14" s="50">
        <v>0.01</v>
      </c>
      <c r="AX14" s="50">
        <v>0.01</v>
      </c>
      <c r="AY14" s="50">
        <v>0.01</v>
      </c>
      <c r="AZ14" s="50">
        <v>0.01</v>
      </c>
      <c r="BA14" s="50">
        <v>0.01</v>
      </c>
      <c r="BB14" s="50">
        <v>0.01</v>
      </c>
      <c r="BC14" s="50">
        <v>0.01</v>
      </c>
      <c r="BD14" s="50">
        <v>0.01</v>
      </c>
      <c r="BE14" s="50">
        <v>0.01</v>
      </c>
      <c r="BF14" s="50">
        <v>0.01</v>
      </c>
      <c r="BG14" s="50">
        <v>0.01</v>
      </c>
      <c r="BH14" s="50">
        <v>0.01</v>
      </c>
      <c r="BI14" s="50">
        <v>0.01</v>
      </c>
    </row>
    <row r="15" spans="1:61" x14ac:dyDescent="0.25">
      <c r="A15" s="59" t="s">
        <v>184</v>
      </c>
      <c r="B15" s="20">
        <v>0</v>
      </c>
      <c r="C15" s="60">
        <f>B15*(1+B16)</f>
        <v>0</v>
      </c>
      <c r="D15" s="60">
        <f t="shared" ref="D15:BI15" si="6">C15*(1+C16)</f>
        <v>0</v>
      </c>
      <c r="E15" s="67">
        <v>500</v>
      </c>
      <c r="F15" s="60">
        <f t="shared" si="6"/>
        <v>505</v>
      </c>
      <c r="G15" s="60">
        <f t="shared" si="6"/>
        <v>510.05</v>
      </c>
      <c r="H15" s="60">
        <f t="shared" si="6"/>
        <v>515.15049999999997</v>
      </c>
      <c r="I15" s="60">
        <f t="shared" si="6"/>
        <v>520.30200500000001</v>
      </c>
      <c r="J15" s="60">
        <f t="shared" si="6"/>
        <v>525.50502504999997</v>
      </c>
      <c r="K15" s="60">
        <f t="shared" si="6"/>
        <v>530.76007530049992</v>
      </c>
      <c r="L15" s="60">
        <f t="shared" si="6"/>
        <v>536.0676760535049</v>
      </c>
      <c r="M15" s="60">
        <f t="shared" si="6"/>
        <v>541.42835281403995</v>
      </c>
      <c r="N15" s="60">
        <f t="shared" si="6"/>
        <v>546.84263634218041</v>
      </c>
      <c r="O15" s="60">
        <f t="shared" si="6"/>
        <v>552.31106270560224</v>
      </c>
      <c r="P15" s="60">
        <f t="shared" si="6"/>
        <v>557.83417333265822</v>
      </c>
      <c r="Q15" s="60">
        <f t="shared" si="6"/>
        <v>563.41251506598485</v>
      </c>
      <c r="R15" s="60">
        <f t="shared" si="6"/>
        <v>569.04664021664473</v>
      </c>
      <c r="S15" s="60">
        <f t="shared" si="6"/>
        <v>574.73710661881114</v>
      </c>
      <c r="T15" s="60">
        <f t="shared" si="6"/>
        <v>580.48447768499921</v>
      </c>
      <c r="U15" s="60">
        <f t="shared" si="6"/>
        <v>586.28932246184922</v>
      </c>
      <c r="V15" s="60">
        <f t="shared" si="6"/>
        <v>592.15221568646768</v>
      </c>
      <c r="W15" s="60">
        <f t="shared" si="6"/>
        <v>598.07373784333231</v>
      </c>
      <c r="X15" s="60">
        <f t="shared" si="6"/>
        <v>604.05447522176564</v>
      </c>
      <c r="Y15" s="60">
        <f t="shared" si="6"/>
        <v>610.09501997398331</v>
      </c>
      <c r="Z15" s="60">
        <f t="shared" si="6"/>
        <v>616.19597017372314</v>
      </c>
      <c r="AA15" s="60">
        <f t="shared" si="6"/>
        <v>622.3579298754604</v>
      </c>
      <c r="AB15" s="60">
        <f t="shared" si="6"/>
        <v>628.58150917421506</v>
      </c>
      <c r="AC15" s="60">
        <f t="shared" si="6"/>
        <v>634.86732426595722</v>
      </c>
      <c r="AD15" s="60">
        <f t="shared" si="6"/>
        <v>641.21599750861685</v>
      </c>
      <c r="AE15" s="60">
        <f t="shared" si="6"/>
        <v>647.62815748370303</v>
      </c>
      <c r="AF15" s="60">
        <f t="shared" si="6"/>
        <v>654.10443905854004</v>
      </c>
      <c r="AG15" s="60">
        <f t="shared" si="6"/>
        <v>660.64548344912544</v>
      </c>
      <c r="AH15" s="60">
        <f t="shared" si="6"/>
        <v>667.25193828361671</v>
      </c>
      <c r="AI15" s="60">
        <f t="shared" si="6"/>
        <v>673.92445766645289</v>
      </c>
      <c r="AJ15" s="60">
        <f t="shared" si="6"/>
        <v>680.66370224311743</v>
      </c>
      <c r="AK15" s="60">
        <f t="shared" si="6"/>
        <v>687.47033926554866</v>
      </c>
      <c r="AL15" s="60">
        <f t="shared" si="6"/>
        <v>694.34504265820419</v>
      </c>
      <c r="AM15" s="60">
        <f t="shared" si="6"/>
        <v>701.2884930847863</v>
      </c>
      <c r="AN15" s="60">
        <f t="shared" si="6"/>
        <v>708.30137801563421</v>
      </c>
      <c r="AO15" s="60">
        <f t="shared" si="6"/>
        <v>715.38439179579052</v>
      </c>
      <c r="AP15" s="60">
        <f t="shared" si="6"/>
        <v>722.53823571374846</v>
      </c>
      <c r="AQ15" s="60">
        <f t="shared" si="6"/>
        <v>729.76361807088597</v>
      </c>
      <c r="AR15" s="60">
        <f t="shared" si="6"/>
        <v>737.06125425159485</v>
      </c>
      <c r="AS15" s="60">
        <f t="shared" si="6"/>
        <v>744.43186679411076</v>
      </c>
      <c r="AT15" s="60">
        <f t="shared" si="6"/>
        <v>751.87618546205192</v>
      </c>
      <c r="AU15" s="60">
        <f t="shared" si="6"/>
        <v>759.39494731667241</v>
      </c>
      <c r="AV15" s="60">
        <f t="shared" si="6"/>
        <v>766.98889678983915</v>
      </c>
      <c r="AW15" s="60">
        <f t="shared" si="6"/>
        <v>774.65878575773752</v>
      </c>
      <c r="AX15" s="60">
        <f t="shared" si="6"/>
        <v>782.40537361531494</v>
      </c>
      <c r="AY15" s="60">
        <f t="shared" si="6"/>
        <v>790.22942735146808</v>
      </c>
      <c r="AZ15" s="60">
        <f t="shared" si="6"/>
        <v>798.13172162498279</v>
      </c>
      <c r="BA15" s="60">
        <f t="shared" si="6"/>
        <v>806.11303884123265</v>
      </c>
      <c r="BB15" s="60">
        <f t="shared" si="6"/>
        <v>814.17416922964503</v>
      </c>
      <c r="BC15" s="60">
        <f t="shared" si="6"/>
        <v>822.31591092194151</v>
      </c>
      <c r="BD15" s="60">
        <f t="shared" si="6"/>
        <v>830.53907003116092</v>
      </c>
      <c r="BE15" s="60">
        <f t="shared" si="6"/>
        <v>838.84446073147251</v>
      </c>
      <c r="BF15" s="60">
        <f t="shared" si="6"/>
        <v>847.23290533878719</v>
      </c>
      <c r="BG15" s="60">
        <f t="shared" si="6"/>
        <v>855.70523439217504</v>
      </c>
      <c r="BH15" s="60">
        <f t="shared" si="6"/>
        <v>864.26228673609683</v>
      </c>
      <c r="BI15" s="60">
        <f t="shared" si="6"/>
        <v>872.90490960345778</v>
      </c>
    </row>
    <row r="16" spans="1:61" x14ac:dyDescent="0.25">
      <c r="A16" s="59" t="s">
        <v>162</v>
      </c>
      <c r="B16" s="50">
        <v>0.01</v>
      </c>
      <c r="C16" s="50">
        <v>0.01</v>
      </c>
      <c r="D16" s="50">
        <v>0.01</v>
      </c>
      <c r="E16" s="50">
        <v>0.01</v>
      </c>
      <c r="F16" s="50">
        <v>0.01</v>
      </c>
      <c r="G16" s="50">
        <v>0.01</v>
      </c>
      <c r="H16" s="50">
        <v>0.01</v>
      </c>
      <c r="I16" s="50">
        <v>0.01</v>
      </c>
      <c r="J16" s="50">
        <v>0.01</v>
      </c>
      <c r="K16" s="50">
        <v>0.01</v>
      </c>
      <c r="L16" s="50">
        <v>0.01</v>
      </c>
      <c r="M16" s="50">
        <v>0.01</v>
      </c>
      <c r="N16" s="50">
        <v>0.01</v>
      </c>
      <c r="O16" s="50">
        <v>0.01</v>
      </c>
      <c r="P16" s="50">
        <v>0.01</v>
      </c>
      <c r="Q16" s="50">
        <v>0.01</v>
      </c>
      <c r="R16" s="50">
        <v>0.01</v>
      </c>
      <c r="S16" s="50">
        <v>0.01</v>
      </c>
      <c r="T16" s="50">
        <v>0.01</v>
      </c>
      <c r="U16" s="50">
        <v>0.01</v>
      </c>
      <c r="V16" s="50">
        <v>0.01</v>
      </c>
      <c r="W16" s="50">
        <v>0.01</v>
      </c>
      <c r="X16" s="50">
        <v>0.01</v>
      </c>
      <c r="Y16" s="50">
        <v>0.01</v>
      </c>
      <c r="Z16" s="50">
        <v>0.01</v>
      </c>
      <c r="AA16" s="50">
        <v>0.01</v>
      </c>
      <c r="AB16" s="50">
        <v>0.01</v>
      </c>
      <c r="AC16" s="50">
        <v>0.01</v>
      </c>
      <c r="AD16" s="50">
        <v>0.01</v>
      </c>
      <c r="AE16" s="50">
        <v>0.01</v>
      </c>
      <c r="AF16" s="50">
        <v>0.01</v>
      </c>
      <c r="AG16" s="50">
        <v>0.01</v>
      </c>
      <c r="AH16" s="50">
        <v>0.01</v>
      </c>
      <c r="AI16" s="50">
        <v>0.01</v>
      </c>
      <c r="AJ16" s="50">
        <v>0.01</v>
      </c>
      <c r="AK16" s="50">
        <v>0.01</v>
      </c>
      <c r="AL16" s="50">
        <v>0.01</v>
      </c>
      <c r="AM16" s="50">
        <v>0.01</v>
      </c>
      <c r="AN16" s="50">
        <v>0.01</v>
      </c>
      <c r="AO16" s="50">
        <v>0.01</v>
      </c>
      <c r="AP16" s="50">
        <v>0.01</v>
      </c>
      <c r="AQ16" s="50">
        <v>0.01</v>
      </c>
      <c r="AR16" s="50">
        <v>0.01</v>
      </c>
      <c r="AS16" s="50">
        <v>0.01</v>
      </c>
      <c r="AT16" s="50">
        <v>0.01</v>
      </c>
      <c r="AU16" s="50">
        <v>0.01</v>
      </c>
      <c r="AV16" s="50">
        <v>0.01</v>
      </c>
      <c r="AW16" s="50">
        <v>0.01</v>
      </c>
      <c r="AX16" s="50">
        <v>0.01</v>
      </c>
      <c r="AY16" s="50">
        <v>0.01</v>
      </c>
      <c r="AZ16" s="50">
        <v>0.01</v>
      </c>
      <c r="BA16" s="50">
        <v>0.01</v>
      </c>
      <c r="BB16" s="50">
        <v>0.01</v>
      </c>
      <c r="BC16" s="50">
        <v>0.01</v>
      </c>
      <c r="BD16" s="50">
        <v>0.01</v>
      </c>
      <c r="BE16" s="50">
        <v>0.01</v>
      </c>
      <c r="BF16" s="50">
        <v>0.01</v>
      </c>
      <c r="BG16" s="50">
        <v>0.01</v>
      </c>
      <c r="BH16" s="50">
        <v>0.01</v>
      </c>
      <c r="BI16" s="50">
        <v>0.01</v>
      </c>
    </row>
    <row r="17" spans="1:61" x14ac:dyDescent="0.25">
      <c r="A17" s="59" t="s">
        <v>168</v>
      </c>
      <c r="B17" s="60">
        <f>B8+B9+B11+B13+B15</f>
        <v>500</v>
      </c>
      <c r="C17" s="60">
        <f t="shared" ref="C17:BI17" si="7">C8+C9+C11+C13+C15</f>
        <v>525</v>
      </c>
      <c r="D17" s="60">
        <f t="shared" si="7"/>
        <v>551.25</v>
      </c>
      <c r="E17" s="60">
        <f t="shared" si="7"/>
        <v>21990.615458552889</v>
      </c>
      <c r="F17" s="60">
        <f t="shared" si="7"/>
        <v>22039.556083552889</v>
      </c>
      <c r="G17" s="60">
        <f t="shared" si="7"/>
        <v>22090.143739802887</v>
      </c>
      <c r="H17" s="60">
        <f t="shared" si="7"/>
        <v>22142.452778865387</v>
      </c>
      <c r="I17" s="60">
        <f t="shared" si="7"/>
        <v>22196.56118988102</v>
      </c>
      <c r="J17" s="60">
        <f t="shared" si="7"/>
        <v>22252.550780647423</v>
      </c>
      <c r="K17" s="60">
        <f t="shared" si="7"/>
        <v>22310.507367744147</v>
      </c>
      <c r="L17" s="60">
        <f t="shared" si="7"/>
        <v>22370.520976155633</v>
      </c>
      <c r="M17" s="60">
        <f t="shared" si="7"/>
        <v>22432.68604886721</v>
      </c>
      <c r="N17" s="60">
        <f t="shared" si="7"/>
        <v>22497.101666932678</v>
      </c>
      <c r="O17" s="60">
        <f t="shared" si="7"/>
        <v>22563.871780536916</v>
      </c>
      <c r="P17" s="60">
        <f t="shared" si="7"/>
        <v>22633.105451603224</v>
      </c>
      <c r="Q17" s="60">
        <f t="shared" si="7"/>
        <v>22704.917108522517</v>
      </c>
      <c r="R17" s="60">
        <f t="shared" si="7"/>
        <v>22779.426813610437</v>
      </c>
      <c r="S17" s="60">
        <f t="shared" si="7"/>
        <v>22856.760543928649</v>
      </c>
      <c r="T17" s="60">
        <f t="shared" si="7"/>
        <v>22937.050486138429</v>
      </c>
      <c r="U17" s="60">
        <f t="shared" si="7"/>
        <v>23020.43534608811</v>
      </c>
      <c r="V17" s="60">
        <f t="shared" si="7"/>
        <v>23107.060673870976</v>
      </c>
      <c r="W17" s="60">
        <f t="shared" si="7"/>
        <v>23197.07920512704</v>
      </c>
      <c r="X17" s="60">
        <f t="shared" si="7"/>
        <v>23290.65121940081</v>
      </c>
      <c r="Y17" s="60">
        <f t="shared" si="7"/>
        <v>23387.944916407723</v>
      </c>
      <c r="Z17" s="60">
        <f t="shared" si="7"/>
        <v>23489.136811104625</v>
      </c>
      <c r="AA17" s="60">
        <f t="shared" si="7"/>
        <v>23594.412148504423</v>
      </c>
      <c r="AB17" s="60">
        <f t="shared" si="7"/>
        <v>23703.96533922193</v>
      </c>
      <c r="AC17" s="60">
        <f t="shared" si="7"/>
        <v>23818.000416787505</v>
      </c>
      <c r="AD17" s="60">
        <f t="shared" si="7"/>
        <v>23936.731517816686</v>
      </c>
      <c r="AE17" s="60">
        <f t="shared" si="7"/>
        <v>24060.383386178495</v>
      </c>
      <c r="AF17" s="60">
        <f t="shared" si="7"/>
        <v>24189.191902362381</v>
      </c>
      <c r="AG17" s="60">
        <f t="shared" si="7"/>
        <v>24323.404639303491</v>
      </c>
      <c r="AH17" s="60">
        <f t="shared" si="7"/>
        <v>24463.28144598916</v>
      </c>
      <c r="AI17" s="60">
        <f t="shared" si="7"/>
        <v>24609.095060235595</v>
      </c>
      <c r="AJ17" s="60">
        <f t="shared" si="7"/>
        <v>24761.131752093093</v>
      </c>
      <c r="AK17" s="60">
        <f t="shared" si="7"/>
        <v>24919.69199941121</v>
      </c>
      <c r="AL17" s="60">
        <f t="shared" si="7"/>
        <v>25085.091197171638</v>
      </c>
      <c r="AM17" s="60">
        <f t="shared" si="7"/>
        <v>25257.660402277263</v>
      </c>
      <c r="AN17" s="60">
        <f t="shared" si="7"/>
        <v>25437.747115569906</v>
      </c>
      <c r="AO17" s="60">
        <f t="shared" si="7"/>
        <v>25625.716102938259</v>
      </c>
      <c r="AP17" s="60">
        <f t="shared" si="7"/>
        <v>25821.950257470206</v>
      </c>
      <c r="AQ17" s="60">
        <f t="shared" si="7"/>
        <v>26026.851504701866</v>
      </c>
      <c r="AR17" s="60">
        <f t="shared" si="7"/>
        <v>26240.841753117977</v>
      </c>
      <c r="AS17" s="60">
        <f t="shared" si="7"/>
        <v>26464.363892165977</v>
      </c>
      <c r="AT17" s="60">
        <f t="shared" si="7"/>
        <v>26697.882840159575</v>
      </c>
      <c r="AU17" s="60">
        <f t="shared" si="7"/>
        <v>26941.886644565977</v>
      </c>
      <c r="AV17" s="60">
        <f t="shared" si="7"/>
        <v>27196.887637295964</v>
      </c>
      <c r="AW17" s="60">
        <f t="shared" si="7"/>
        <v>27463.423647746738</v>
      </c>
      <c r="AX17" s="60">
        <f t="shared" si="7"/>
        <v>27742.059276485197</v>
      </c>
      <c r="AY17" s="60">
        <f t="shared" si="7"/>
        <v>28033.38723260336</v>
      </c>
      <c r="AZ17" s="60">
        <f t="shared" si="7"/>
        <v>28338.029737929653</v>
      </c>
      <c r="BA17" s="60">
        <f t="shared" si="7"/>
        <v>28656.640001438493</v>
      </c>
      <c r="BB17" s="60">
        <f t="shared" si="7"/>
        <v>28989.903767368178</v>
      </c>
      <c r="BC17" s="60">
        <f t="shared" si="7"/>
        <v>29338.5409407322</v>
      </c>
      <c r="BD17" s="60">
        <f t="shared" si="7"/>
        <v>29703.307294093654</v>
      </c>
      <c r="BE17" s="60">
        <f t="shared" si="7"/>
        <v>30084.99625966571</v>
      </c>
      <c r="BF17" s="60">
        <f t="shared" si="7"/>
        <v>30484.440811004315</v>
      </c>
      <c r="BG17" s="60">
        <f t="shared" si="7"/>
        <v>30902.51543877268</v>
      </c>
      <c r="BH17" s="60">
        <f t="shared" si="7"/>
        <v>31340.138225280916</v>
      </c>
      <c r="BI17" s="60">
        <f t="shared" si="7"/>
        <v>31798.273022739551</v>
      </c>
    </row>
    <row r="18" spans="1:61" x14ac:dyDescent="0.25">
      <c r="A18" s="59" t="s">
        <v>236</v>
      </c>
      <c r="B18" s="44">
        <v>0</v>
      </c>
      <c r="C18" s="61">
        <f>B18*(1+B19)</f>
        <v>0</v>
      </c>
      <c r="D18" s="61">
        <f t="shared" ref="D18:BI18" si="8">C18*(1+C19)</f>
        <v>0</v>
      </c>
      <c r="E18" s="66">
        <v>1.4999999999999999E-2</v>
      </c>
      <c r="F18" s="61">
        <f t="shared" si="8"/>
        <v>1.515E-2</v>
      </c>
      <c r="G18" s="61">
        <f t="shared" si="8"/>
        <v>1.5301500000000001E-2</v>
      </c>
      <c r="H18" s="61">
        <f t="shared" si="8"/>
        <v>1.5454515E-2</v>
      </c>
      <c r="I18" s="61">
        <f t="shared" si="8"/>
        <v>1.5609060150000001E-2</v>
      </c>
      <c r="J18" s="61">
        <f t="shared" si="8"/>
        <v>1.57651507515E-2</v>
      </c>
      <c r="K18" s="61">
        <f t="shared" si="8"/>
        <v>1.5922802259015E-2</v>
      </c>
      <c r="L18" s="61">
        <f t="shared" si="8"/>
        <v>1.608203028160515E-2</v>
      </c>
      <c r="M18" s="61">
        <f t="shared" si="8"/>
        <v>1.6242850584421202E-2</v>
      </c>
      <c r="N18" s="61">
        <f t="shared" si="8"/>
        <v>1.6405279090265415E-2</v>
      </c>
      <c r="O18" s="61">
        <f t="shared" si="8"/>
        <v>1.6569331881168069E-2</v>
      </c>
      <c r="P18" s="61">
        <f t="shared" si="8"/>
        <v>1.6735025199979749E-2</v>
      </c>
      <c r="Q18" s="61">
        <f t="shared" si="8"/>
        <v>1.6902375451979545E-2</v>
      </c>
      <c r="R18" s="61">
        <f t="shared" si="8"/>
        <v>1.7071399206499339E-2</v>
      </c>
      <c r="S18" s="61">
        <f t="shared" si="8"/>
        <v>1.7242113198564332E-2</v>
      </c>
      <c r="T18" s="61">
        <f t="shared" si="8"/>
        <v>1.7414534330549975E-2</v>
      </c>
      <c r="U18" s="61">
        <f t="shared" si="8"/>
        <v>1.7588679673855474E-2</v>
      </c>
      <c r="V18" s="61">
        <f t="shared" si="8"/>
        <v>1.7764566470594028E-2</v>
      </c>
      <c r="W18" s="61">
        <f t="shared" si="8"/>
        <v>1.7942212135299968E-2</v>
      </c>
      <c r="X18" s="61">
        <f t="shared" si="8"/>
        <v>1.8121634256652967E-2</v>
      </c>
      <c r="Y18" s="61">
        <f t="shared" si="8"/>
        <v>1.8302850599219496E-2</v>
      </c>
      <c r="Z18" s="61">
        <f t="shared" si="8"/>
        <v>1.848587910521169E-2</v>
      </c>
      <c r="AA18" s="61">
        <f t="shared" si="8"/>
        <v>1.8670737896263806E-2</v>
      </c>
      <c r="AB18" s="61">
        <f t="shared" si="8"/>
        <v>1.8857445275226443E-2</v>
      </c>
      <c r="AC18" s="61">
        <f t="shared" si="8"/>
        <v>1.9046019727978706E-2</v>
      </c>
      <c r="AD18" s="61">
        <f t="shared" si="8"/>
        <v>1.9236479925258492E-2</v>
      </c>
      <c r="AE18" s="61">
        <f t="shared" si="8"/>
        <v>1.9428844724511077E-2</v>
      </c>
      <c r="AF18" s="61">
        <f t="shared" si="8"/>
        <v>1.9623133171756187E-2</v>
      </c>
      <c r="AG18" s="61">
        <f t="shared" si="8"/>
        <v>1.9819364503473748E-2</v>
      </c>
      <c r="AH18" s="61">
        <f t="shared" si="8"/>
        <v>2.0017558148508485E-2</v>
      </c>
      <c r="AI18" s="61">
        <f t="shared" si="8"/>
        <v>2.0217733729993571E-2</v>
      </c>
      <c r="AJ18" s="61">
        <f t="shared" si="8"/>
        <v>2.0419911067293506E-2</v>
      </c>
      <c r="AK18" s="61">
        <f t="shared" si="8"/>
        <v>2.0624110177966441E-2</v>
      </c>
      <c r="AL18" s="61">
        <f t="shared" si="8"/>
        <v>2.0830351279746105E-2</v>
      </c>
      <c r="AM18" s="61">
        <f t="shared" si="8"/>
        <v>2.1038654792543566E-2</v>
      </c>
      <c r="AN18" s="61">
        <f t="shared" si="8"/>
        <v>2.1249041340469003E-2</v>
      </c>
      <c r="AO18" s="61">
        <f t="shared" si="8"/>
        <v>2.1461531753873695E-2</v>
      </c>
      <c r="AP18" s="61">
        <f t="shared" si="8"/>
        <v>2.1676147071412431E-2</v>
      </c>
      <c r="AQ18" s="61">
        <f t="shared" si="8"/>
        <v>2.1892908542126555E-2</v>
      </c>
      <c r="AR18" s="61">
        <f t="shared" si="8"/>
        <v>2.2111837627547822E-2</v>
      </c>
      <c r="AS18" s="61">
        <f t="shared" si="8"/>
        <v>2.23329560038233E-2</v>
      </c>
      <c r="AT18" s="61">
        <f t="shared" si="8"/>
        <v>2.2556285563861533E-2</v>
      </c>
      <c r="AU18" s="61">
        <f t="shared" si="8"/>
        <v>2.2781848419500147E-2</v>
      </c>
      <c r="AV18" s="61">
        <f t="shared" si="8"/>
        <v>2.3009666903695148E-2</v>
      </c>
      <c r="AW18" s="61">
        <f t="shared" si="8"/>
        <v>2.3239763572732101E-2</v>
      </c>
      <c r="AX18" s="61">
        <f t="shared" si="8"/>
        <v>2.3472161208459422E-2</v>
      </c>
      <c r="AY18" s="61">
        <f t="shared" si="8"/>
        <v>2.3706882820544017E-2</v>
      </c>
      <c r="AZ18" s="61">
        <f t="shared" si="8"/>
        <v>2.3943951648749458E-2</v>
      </c>
      <c r="BA18" s="61">
        <f t="shared" si="8"/>
        <v>2.4183391165236955E-2</v>
      </c>
      <c r="BB18" s="61">
        <f t="shared" si="8"/>
        <v>2.4425225076889323E-2</v>
      </c>
      <c r="BC18" s="61">
        <f t="shared" si="8"/>
        <v>2.4669477327658215E-2</v>
      </c>
      <c r="BD18" s="61">
        <f t="shared" si="8"/>
        <v>2.4916172100934799E-2</v>
      </c>
      <c r="BE18" s="61">
        <f t="shared" si="8"/>
        <v>2.5165333821944146E-2</v>
      </c>
      <c r="BF18" s="61">
        <f t="shared" si="8"/>
        <v>2.5416987160163589E-2</v>
      </c>
      <c r="BG18" s="61">
        <f t="shared" si="8"/>
        <v>2.5671157031765226E-2</v>
      </c>
      <c r="BH18" s="61">
        <f t="shared" si="8"/>
        <v>2.592786860208288E-2</v>
      </c>
      <c r="BI18" s="61">
        <f t="shared" si="8"/>
        <v>2.6187147288103708E-2</v>
      </c>
    </row>
    <row r="19" spans="1:61" x14ac:dyDescent="0.25">
      <c r="A19" s="59" t="s">
        <v>162</v>
      </c>
      <c r="B19" s="50">
        <v>0.01</v>
      </c>
      <c r="C19" s="50">
        <v>0.01</v>
      </c>
      <c r="D19" s="50">
        <v>0.01</v>
      </c>
      <c r="E19" s="50">
        <v>0.01</v>
      </c>
      <c r="F19" s="50">
        <v>0.01</v>
      </c>
      <c r="G19" s="50">
        <v>0.01</v>
      </c>
      <c r="H19" s="50">
        <v>0.01</v>
      </c>
      <c r="I19" s="50">
        <v>0.01</v>
      </c>
      <c r="J19" s="50">
        <v>0.01</v>
      </c>
      <c r="K19" s="50">
        <v>0.01</v>
      </c>
      <c r="L19" s="50">
        <v>0.01</v>
      </c>
      <c r="M19" s="50">
        <v>0.01</v>
      </c>
      <c r="N19" s="50">
        <v>0.01</v>
      </c>
      <c r="O19" s="50">
        <v>0.01</v>
      </c>
      <c r="P19" s="50">
        <v>0.01</v>
      </c>
      <c r="Q19" s="50">
        <v>0.01</v>
      </c>
      <c r="R19" s="50">
        <v>0.01</v>
      </c>
      <c r="S19" s="50">
        <v>0.01</v>
      </c>
      <c r="T19" s="50">
        <v>0.01</v>
      </c>
      <c r="U19" s="50">
        <v>0.01</v>
      </c>
      <c r="V19" s="50">
        <v>0.01</v>
      </c>
      <c r="W19" s="50">
        <v>0.01</v>
      </c>
      <c r="X19" s="50">
        <v>0.01</v>
      </c>
      <c r="Y19" s="50">
        <v>0.01</v>
      </c>
      <c r="Z19" s="50">
        <v>0.01</v>
      </c>
      <c r="AA19" s="50">
        <v>0.01</v>
      </c>
      <c r="AB19" s="50">
        <v>0.01</v>
      </c>
      <c r="AC19" s="50">
        <v>0.01</v>
      </c>
      <c r="AD19" s="50">
        <v>0.01</v>
      </c>
      <c r="AE19" s="50">
        <v>0.01</v>
      </c>
      <c r="AF19" s="50">
        <v>0.01</v>
      </c>
      <c r="AG19" s="50">
        <v>0.01</v>
      </c>
      <c r="AH19" s="50">
        <v>0.01</v>
      </c>
      <c r="AI19" s="50">
        <v>0.01</v>
      </c>
      <c r="AJ19" s="50">
        <v>0.01</v>
      </c>
      <c r="AK19" s="50">
        <v>0.01</v>
      </c>
      <c r="AL19" s="50">
        <v>0.01</v>
      </c>
      <c r="AM19" s="50">
        <v>0.01</v>
      </c>
      <c r="AN19" s="50">
        <v>0.01</v>
      </c>
      <c r="AO19" s="50">
        <v>0.01</v>
      </c>
      <c r="AP19" s="50">
        <v>0.01</v>
      </c>
      <c r="AQ19" s="50">
        <v>0.01</v>
      </c>
      <c r="AR19" s="50">
        <v>0.01</v>
      </c>
      <c r="AS19" s="50">
        <v>0.01</v>
      </c>
      <c r="AT19" s="50">
        <v>0.01</v>
      </c>
      <c r="AU19" s="50">
        <v>0.01</v>
      </c>
      <c r="AV19" s="50">
        <v>0.01</v>
      </c>
      <c r="AW19" s="50">
        <v>0.01</v>
      </c>
      <c r="AX19" s="50">
        <v>0.01</v>
      </c>
      <c r="AY19" s="50">
        <v>0.01</v>
      </c>
      <c r="AZ19" s="50">
        <v>0.01</v>
      </c>
      <c r="BA19" s="50">
        <v>0.01</v>
      </c>
      <c r="BB19" s="50">
        <v>0.01</v>
      </c>
      <c r="BC19" s="50">
        <v>0.01</v>
      </c>
      <c r="BD19" s="50">
        <v>0.01</v>
      </c>
      <c r="BE19" s="50">
        <v>0.01</v>
      </c>
      <c r="BF19" s="50">
        <v>0.01</v>
      </c>
      <c r="BG19" s="50">
        <v>0.01</v>
      </c>
      <c r="BH19" s="50">
        <v>0.01</v>
      </c>
      <c r="BI19" s="50">
        <v>0.01</v>
      </c>
    </row>
    <row r="20" spans="1:61" x14ac:dyDescent="0.25">
      <c r="A20" s="59" t="s">
        <v>237</v>
      </c>
      <c r="B20" s="60">
        <f>B17*B18</f>
        <v>0</v>
      </c>
      <c r="C20" s="60">
        <f t="shared" ref="C20:BI20" si="9">C17*C18</f>
        <v>0</v>
      </c>
      <c r="D20" s="60">
        <f t="shared" si="9"/>
        <v>0</v>
      </c>
      <c r="E20" s="60">
        <f t="shared" si="9"/>
        <v>329.85923187829331</v>
      </c>
      <c r="F20" s="60">
        <f t="shared" si="9"/>
        <v>333.89927466582628</v>
      </c>
      <c r="G20" s="60">
        <f t="shared" si="9"/>
        <v>338.01233443459387</v>
      </c>
      <c r="H20" s="60">
        <f t="shared" si="9"/>
        <v>342.20086860776684</v>
      </c>
      <c r="I20" s="60">
        <f t="shared" si="9"/>
        <v>346.46745873600844</v>
      </c>
      <c r="J20" s="60">
        <f t="shared" si="9"/>
        <v>350.81481766231565</v>
      </c>
      <c r="K20" s="60">
        <f t="shared" si="9"/>
        <v>355.2457971148873</v>
      </c>
      <c r="L20" s="60">
        <f t="shared" si="9"/>
        <v>359.76339575381809</v>
      </c>
      <c r="M20" s="60">
        <f t="shared" si="9"/>
        <v>364.3707676989801</v>
      </c>
      <c r="N20" s="60">
        <f t="shared" si="9"/>
        <v>369.07123156810587</v>
      </c>
      <c r="O20" s="60">
        <f t="shared" si="9"/>
        <v>373.86828005583885</v>
      </c>
      <c r="P20" s="60">
        <f t="shared" si="9"/>
        <v>378.76559008637895</v>
      </c>
      <c r="Q20" s="60">
        <f t="shared" si="9"/>
        <v>383.76703357432137</v>
      </c>
      <c r="R20" s="60">
        <f t="shared" si="9"/>
        <v>388.87668883037901</v>
      </c>
      <c r="S20" s="60">
        <f t="shared" si="9"/>
        <v>394.09885265089662</v>
      </c>
      <c r="T20" s="60">
        <f t="shared" si="9"/>
        <v>399.43805313241569</v>
      </c>
      <c r="U20" s="60">
        <f t="shared" si="9"/>
        <v>404.89906325504404</v>
      </c>
      <c r="V20" s="60">
        <f t="shared" si="9"/>
        <v>410.48691528103018</v>
      </c>
      <c r="W20" s="60">
        <f t="shared" si="9"/>
        <v>416.2069160177449</v>
      </c>
      <c r="X20" s="60">
        <f t="shared" si="9"/>
        <v>422.06466299724991</v>
      </c>
      <c r="Y20" s="60">
        <f t="shared" si="9"/>
        <v>428.06606162778564</v>
      </c>
      <c r="Z20" s="60">
        <f t="shared" si="9"/>
        <v>434.21734337585775</v>
      </c>
      <c r="AA20" s="60">
        <f t="shared" si="9"/>
        <v>440.52508504114866</v>
      </c>
      <c r="AB20" s="60">
        <f t="shared" si="9"/>
        <v>446.99622919024193</v>
      </c>
      <c r="AC20" s="60">
        <f t="shared" si="9"/>
        <v>453.63810581913987</v>
      </c>
      <c r="AD20" s="60">
        <f t="shared" si="9"/>
        <v>460.45845531878291</v>
      </c>
      <c r="AE20" s="60">
        <f t="shared" si="9"/>
        <v>467.46545282226799</v>
      </c>
      <c r="AF20" s="60">
        <f t="shared" si="9"/>
        <v>474.66773401722338</v>
      </c>
      <c r="AG20" s="60">
        <f t="shared" si="9"/>
        <v>482.07442251184028</v>
      </c>
      <c r="AH20" s="60">
        <f t="shared" si="9"/>
        <v>489.69515884841672</v>
      </c>
      <c r="AI20" s="60">
        <f t="shared" si="9"/>
        <v>497.54013126394335</v>
      </c>
      <c r="AJ20" s="60">
        <f t="shared" si="9"/>
        <v>505.62010830327841</v>
      </c>
      <c r="AK20" s="60">
        <f t="shared" si="9"/>
        <v>513.94647339684559</v>
      </c>
      <c r="AL20" s="60">
        <f t="shared" si="9"/>
        <v>522.53126152155198</v>
      </c>
      <c r="AM20" s="60">
        <f t="shared" si="9"/>
        <v>531.38719807080838</v>
      </c>
      <c r="AN20" s="60">
        <f t="shared" si="9"/>
        <v>540.52774006714105</v>
      </c>
      <c r="AO20" s="60">
        <f t="shared" si="9"/>
        <v>549.96711985896195</v>
      </c>
      <c r="AP20" s="60">
        <f t="shared" si="9"/>
        <v>559.72039145162023</v>
      </c>
      <c r="AQ20" s="60">
        <f t="shared" si="9"/>
        <v>569.80347963194686</v>
      </c>
      <c r="AR20" s="60">
        <f t="shared" si="9"/>
        <v>580.23323205512202</v>
      </c>
      <c r="AS20" s="60">
        <f t="shared" si="9"/>
        <v>591.02747447291267</v>
      </c>
      <c r="AT20" s="60">
        <f t="shared" si="9"/>
        <v>602.20506929315798</v>
      </c>
      <c r="AU20" s="60">
        <f t="shared" si="9"/>
        <v>613.78597767185749</v>
      </c>
      <c r="AV20" s="60">
        <f t="shared" si="9"/>
        <v>625.79132535140468</v>
      </c>
      <c r="AW20" s="60">
        <f t="shared" si="9"/>
        <v>638.24347247141407</v>
      </c>
      <c r="AX20" s="60">
        <f t="shared" si="9"/>
        <v>651.16608759229769</v>
      </c>
      <c r="AY20" s="60">
        <f t="shared" si="9"/>
        <v>664.58422618626253</v>
      </c>
      <c r="AZ20" s="60">
        <f t="shared" si="9"/>
        <v>678.52441386581188</v>
      </c>
      <c r="BA20" s="60">
        <f t="shared" si="9"/>
        <v>693.01473463616355</v>
      </c>
      <c r="BB20" s="60">
        <f t="shared" si="9"/>
        <v>708.08492447532944</v>
      </c>
      <c r="BC20" s="60">
        <f t="shared" si="9"/>
        <v>723.7664705639653</v>
      </c>
      <c r="BD20" s="60">
        <f t="shared" si="9"/>
        <v>740.09271650658945</v>
      </c>
      <c r="BE20" s="60">
        <f t="shared" si="9"/>
        <v>757.09897390642857</v>
      </c>
      <c r="BF20" s="60">
        <f t="shared" si="9"/>
        <v>774.82264067806364</v>
      </c>
      <c r="BG20" s="60">
        <f t="shared" si="9"/>
        <v>793.30332650528271</v>
      </c>
      <c r="BH20" s="60">
        <f t="shared" si="9"/>
        <v>812.58298587619856</v>
      </c>
      <c r="BI20" s="60">
        <f t="shared" si="9"/>
        <v>832.70605915381532</v>
      </c>
    </row>
    <row r="21" spans="1:61" x14ac:dyDescent="0.25">
      <c r="A21" s="59" t="s">
        <v>169</v>
      </c>
      <c r="B21" s="27">
        <f>1-B25-B30</f>
        <v>0.75</v>
      </c>
      <c r="C21" s="27">
        <f t="shared" ref="C21:BI21" si="10">1-C25-C30</f>
        <v>0.74750000000000005</v>
      </c>
      <c r="D21" s="27">
        <f t="shared" si="10"/>
        <v>0.74497500000000005</v>
      </c>
      <c r="E21" s="27">
        <f t="shared" si="10"/>
        <v>0.74242474999999997</v>
      </c>
      <c r="F21" s="27">
        <f t="shared" si="10"/>
        <v>0.73984899749999999</v>
      </c>
      <c r="G21" s="27">
        <f t="shared" si="10"/>
        <v>0.73724748747500002</v>
      </c>
      <c r="H21" s="27">
        <f t="shared" si="10"/>
        <v>0.73461996234975002</v>
      </c>
      <c r="I21" s="27">
        <f t="shared" si="10"/>
        <v>0.73196616197324749</v>
      </c>
      <c r="J21" s="27">
        <f t="shared" si="10"/>
        <v>0.72928582359298</v>
      </c>
      <c r="K21" s="27">
        <f t="shared" si="10"/>
        <v>0.72657868182890972</v>
      </c>
      <c r="L21" s="27">
        <f t="shared" si="10"/>
        <v>0.72384446864719887</v>
      </c>
      <c r="M21" s="27">
        <f t="shared" si="10"/>
        <v>0.72108291333367081</v>
      </c>
      <c r="N21" s="27">
        <f t="shared" si="10"/>
        <v>0.7182937424670075</v>
      </c>
      <c r="O21" s="27">
        <f t="shared" si="10"/>
        <v>0.71547667989167762</v>
      </c>
      <c r="P21" s="27">
        <f t="shared" si="10"/>
        <v>0.71263144669059442</v>
      </c>
      <c r="Q21" s="27">
        <f t="shared" si="10"/>
        <v>0.70975776115750033</v>
      </c>
      <c r="R21" s="27">
        <f t="shared" si="10"/>
        <v>0.70685533876907536</v>
      </c>
      <c r="S21" s="27">
        <f t="shared" si="10"/>
        <v>0.7039238921567661</v>
      </c>
      <c r="T21" s="27">
        <f t="shared" si="10"/>
        <v>0.70096313107833375</v>
      </c>
      <c r="U21" s="27">
        <f t="shared" si="10"/>
        <v>0.6979727623891171</v>
      </c>
      <c r="V21" s="27">
        <f t="shared" si="10"/>
        <v>0.69495249001300829</v>
      </c>
      <c r="W21" s="27">
        <f t="shared" si="10"/>
        <v>0.69190201491313841</v>
      </c>
      <c r="X21" s="27">
        <f t="shared" si="10"/>
        <v>0.68882103506226966</v>
      </c>
      <c r="Y21" s="27">
        <f t="shared" si="10"/>
        <v>0.68570924541289235</v>
      </c>
      <c r="Z21" s="27">
        <f t="shared" si="10"/>
        <v>0.68256633786702126</v>
      </c>
      <c r="AA21" s="27">
        <f t="shared" si="10"/>
        <v>0.67939200124569155</v>
      </c>
      <c r="AB21" s="27">
        <f t="shared" si="10"/>
        <v>0.67618592125814847</v>
      </c>
      <c r="AC21" s="27">
        <f t="shared" si="10"/>
        <v>0.67294778047072989</v>
      </c>
      <c r="AD21" s="27">
        <f t="shared" si="10"/>
        <v>0.66967725827543723</v>
      </c>
      <c r="AE21" s="27">
        <f t="shared" si="10"/>
        <v>0.66637403085819158</v>
      </c>
      <c r="AF21" s="27">
        <f t="shared" si="10"/>
        <v>0.66303777116677354</v>
      </c>
      <c r="AG21" s="27">
        <f t="shared" si="10"/>
        <v>0.65966814887844127</v>
      </c>
      <c r="AH21" s="27">
        <f t="shared" si="10"/>
        <v>0.6562648303672256</v>
      </c>
      <c r="AI21" s="27">
        <f t="shared" si="10"/>
        <v>0.65282747867089785</v>
      </c>
      <c r="AJ21" s="27">
        <f t="shared" si="10"/>
        <v>0.64935575345760688</v>
      </c>
      <c r="AK21" s="27">
        <f t="shared" si="10"/>
        <v>0.64584931099218279</v>
      </c>
      <c r="AL21" s="27">
        <f t="shared" si="10"/>
        <v>0.64230780410210464</v>
      </c>
      <c r="AM21" s="27">
        <f t="shared" si="10"/>
        <v>0.63873088214312568</v>
      </c>
      <c r="AN21" s="27">
        <f t="shared" si="10"/>
        <v>0.63511819096455691</v>
      </c>
      <c r="AO21" s="27">
        <f t="shared" si="10"/>
        <v>0.63146937287420257</v>
      </c>
      <c r="AP21" s="27">
        <f t="shared" si="10"/>
        <v>0.62778406660294461</v>
      </c>
      <c r="AQ21" s="27">
        <f t="shared" si="10"/>
        <v>0.62406190726897404</v>
      </c>
      <c r="AR21" s="27">
        <f t="shared" si="10"/>
        <v>0.62030252634166383</v>
      </c>
      <c r="AS21" s="27">
        <f t="shared" si="10"/>
        <v>0.61650555160508047</v>
      </c>
      <c r="AT21" s="27">
        <f t="shared" si="10"/>
        <v>0.61267060712113131</v>
      </c>
      <c r="AU21" s="27">
        <f t="shared" si="10"/>
        <v>0.60879731319234265</v>
      </c>
      <c r="AV21" s="27">
        <f t="shared" si="10"/>
        <v>0.60488528632426608</v>
      </c>
      <c r="AW21" s="27">
        <f t="shared" si="10"/>
        <v>0.60093413918750871</v>
      </c>
      <c r="AX21" s="27">
        <f t="shared" si="10"/>
        <v>0.59694348057938384</v>
      </c>
      <c r="AY21" s="27">
        <f t="shared" si="10"/>
        <v>0.59291291538517765</v>
      </c>
      <c r="AZ21" s="27">
        <f t="shared" si="10"/>
        <v>0.58884204453902933</v>
      </c>
      <c r="BA21" s="27">
        <f t="shared" si="10"/>
        <v>0.58473046498441972</v>
      </c>
      <c r="BB21" s="27">
        <f t="shared" si="10"/>
        <v>0.58057776963426388</v>
      </c>
      <c r="BC21" s="27">
        <f t="shared" si="10"/>
        <v>0.57638354733060648</v>
      </c>
      <c r="BD21" s="27">
        <f t="shared" si="10"/>
        <v>0.57214738280391253</v>
      </c>
      <c r="BE21" s="27">
        <f t="shared" si="10"/>
        <v>0.56786885663195164</v>
      </c>
      <c r="BF21" s="27">
        <f t="shared" si="10"/>
        <v>0.56354754519827122</v>
      </c>
      <c r="BG21" s="27">
        <f t="shared" si="10"/>
        <v>0.55918302065025394</v>
      </c>
      <c r="BH21" s="27">
        <f t="shared" si="10"/>
        <v>0.55477485085675649</v>
      </c>
      <c r="BI21" s="27">
        <f t="shared" si="10"/>
        <v>0.55032259936532402</v>
      </c>
    </row>
    <row r="22" spans="1:61" x14ac:dyDescent="0.25">
      <c r="A22" s="59" t="s">
        <v>179</v>
      </c>
      <c r="B22" s="60">
        <f>B20*B21</f>
        <v>0</v>
      </c>
      <c r="C22" s="60">
        <f t="shared" ref="C22:BI22" si="11">C20*C21</f>
        <v>0</v>
      </c>
      <c r="D22" s="60">
        <f t="shared" si="11"/>
        <v>0</v>
      </c>
      <c r="E22" s="60">
        <f t="shared" si="11"/>
        <v>244.89565776243393</v>
      </c>
      <c r="F22" s="60">
        <f t="shared" si="11"/>
        <v>247.03504362748873</v>
      </c>
      <c r="G22" s="60">
        <f t="shared" si="11"/>
        <v>249.19874429746375</v>
      </c>
      <c r="H22" s="60">
        <f t="shared" si="11"/>
        <v>251.38758921268942</v>
      </c>
      <c r="I22" s="60">
        <f t="shared" si="11"/>
        <v>253.6024560196206</v>
      </c>
      <c r="J22" s="60">
        <f t="shared" si="11"/>
        <v>255.84427322748297</v>
      </c>
      <c r="K22" s="60">
        <f t="shared" si="11"/>
        <v>258.1140229929951</v>
      </c>
      <c r="L22" s="60">
        <f t="shared" si="11"/>
        <v>260.41274403813435</v>
      </c>
      <c r="M22" s="60">
        <f t="shared" si="11"/>
        <v>262.74153470600675</v>
      </c>
      <c r="N22" s="60">
        <f t="shared" si="11"/>
        <v>265.10155615996234</v>
      </c>
      <c r="O22" s="60">
        <f t="shared" si="11"/>
        <v>267.49403573116348</v>
      </c>
      <c r="P22" s="60">
        <f t="shared" si="11"/>
        <v>269.92027041987291</v>
      </c>
      <c r="Q22" s="60">
        <f t="shared" si="11"/>
        <v>272.38163055576558</v>
      </c>
      <c r="R22" s="60">
        <f t="shared" si="11"/>
        <v>274.87956362259388</v>
      </c>
      <c r="S22" s="60">
        <f t="shared" si="11"/>
        <v>277.41559825253501</v>
      </c>
      <c r="T22" s="60">
        <f t="shared" si="11"/>
        <v>279.99134839553193</v>
      </c>
      <c r="U22" s="60">
        <f t="shared" si="11"/>
        <v>282.60851766888896</v>
      </c>
      <c r="V22" s="60">
        <f t="shared" si="11"/>
        <v>285.26890389231073</v>
      </c>
      <c r="W22" s="60">
        <f t="shared" si="11"/>
        <v>287.97440381346109</v>
      </c>
      <c r="X22" s="60">
        <f t="shared" si="11"/>
        <v>290.7270180289737</v>
      </c>
      <c r="Y22" s="60">
        <f t="shared" si="11"/>
        <v>293.52885610565755</v>
      </c>
      <c r="Z22" s="60">
        <f t="shared" si="11"/>
        <v>296.3821419064061</v>
      </c>
      <c r="AA22" s="60">
        <f t="shared" si="11"/>
        <v>299.28921912503444</v>
      </c>
      <c r="AB22" s="60">
        <f t="shared" si="11"/>
        <v>302.25255703392224</v>
      </c>
      <c r="AC22" s="60">
        <f t="shared" si="11"/>
        <v>305.27475644793628</v>
      </c>
      <c r="AD22" s="60">
        <f t="shared" si="11"/>
        <v>308.35855590762543</v>
      </c>
      <c r="AE22" s="60">
        <f t="shared" si="11"/>
        <v>311.50683808412452</v>
      </c>
      <c r="AF22" s="60">
        <f t="shared" si="11"/>
        <v>314.72263640756267</v>
      </c>
      <c r="AG22" s="60">
        <f t="shared" si="11"/>
        <v>318.00914192002926</v>
      </c>
      <c r="AH22" s="60">
        <f t="shared" si="11"/>
        <v>321.36971035330782</v>
      </c>
      <c r="AI22" s="60">
        <f t="shared" si="11"/>
        <v>324.8078694306277</v>
      </c>
      <c r="AJ22" s="60">
        <f t="shared" si="11"/>
        <v>328.32732639059213</v>
      </c>
      <c r="AK22" s="60">
        <f t="shared" si="11"/>
        <v>331.9319757302149</v>
      </c>
      <c r="AL22" s="60">
        <f t="shared" si="11"/>
        <v>335.62590716261064</v>
      </c>
      <c r="AM22" s="60">
        <f t="shared" si="11"/>
        <v>339.41341378333129</v>
      </c>
      <c r="AN22" s="60">
        <f t="shared" si="11"/>
        <v>343.29900043760284</v>
      </c>
      <c r="AO22" s="60">
        <f t="shared" si="11"/>
        <v>347.28739227877008</v>
      </c>
      <c r="AP22" s="60">
        <f t="shared" si="11"/>
        <v>351.38354350609018</v>
      </c>
      <c r="AQ22" s="60">
        <f t="shared" si="11"/>
        <v>355.59264626761075</v>
      </c>
      <c r="AR22" s="60">
        <f t="shared" si="11"/>
        <v>359.92013971118109</v>
      </c>
      <c r="AS22" s="60">
        <f t="shared" si="11"/>
        <v>364.37171916368067</v>
      </c>
      <c r="AT22" s="60">
        <f t="shared" si="11"/>
        <v>368.95334541526205</v>
      </c>
      <c r="AU22" s="60">
        <f t="shared" si="11"/>
        <v>373.67125408176207</v>
      </c>
      <c r="AV22" s="60">
        <f t="shared" si="11"/>
        <v>378.53196501442636</v>
      </c>
      <c r="AW22" s="60">
        <f t="shared" si="11"/>
        <v>383.5422917216556</v>
      </c>
      <c r="AX22" s="60">
        <f t="shared" si="11"/>
        <v>388.70935076260611</v>
      </c>
      <c r="AY22" s="60">
        <f t="shared" si="11"/>
        <v>394.04057106709922</v>
      </c>
      <c r="AZ22" s="60">
        <f t="shared" si="11"/>
        <v>399.54370313039118</v>
      </c>
      <c r="BA22" s="60">
        <f t="shared" si="11"/>
        <v>405.22682802485815</v>
      </c>
      <c r="BB22" s="60">
        <f t="shared" si="11"/>
        <v>411.09836616353294</v>
      </c>
      <c r="BC22" s="60">
        <f t="shared" si="11"/>
        <v>417.16708574261128</v>
      </c>
      <c r="BD22" s="60">
        <f t="shared" si="11"/>
        <v>423.44211078148317</v>
      </c>
      <c r="BE22" s="60">
        <f t="shared" si="11"/>
        <v>429.9329286694674</v>
      </c>
      <c r="BF22" s="60">
        <f t="shared" si="11"/>
        <v>436.64939711816493</v>
      </c>
      <c r="BG22" s="60">
        <f t="shared" si="11"/>
        <v>443.60175040711863</v>
      </c>
      <c r="BH22" s="60">
        <f t="shared" si="11"/>
        <v>450.80060479820594</v>
      </c>
      <c r="BI22" s="60">
        <f t="shared" si="11"/>
        <v>458.25696298078293</v>
      </c>
    </row>
    <row r="23" spans="1:61" x14ac:dyDescent="0.25">
      <c r="A23" s="59" t="s">
        <v>172</v>
      </c>
      <c r="B23" s="49">
        <v>2200</v>
      </c>
      <c r="C23" s="48">
        <f>B23*(1+B24)</f>
        <v>2200</v>
      </c>
      <c r="D23" s="48">
        <f t="shared" ref="D23:BI23" si="12">C23*(1+C24)</f>
        <v>2200</v>
      </c>
      <c r="E23" s="48">
        <f t="shared" si="12"/>
        <v>2200</v>
      </c>
      <c r="F23" s="48">
        <f t="shared" si="12"/>
        <v>2200</v>
      </c>
      <c r="G23" s="48">
        <f t="shared" si="12"/>
        <v>2200</v>
      </c>
      <c r="H23" s="48">
        <f t="shared" si="12"/>
        <v>2200</v>
      </c>
      <c r="I23" s="48">
        <f t="shared" si="12"/>
        <v>2200</v>
      </c>
      <c r="J23" s="48">
        <f t="shared" si="12"/>
        <v>2200</v>
      </c>
      <c r="K23" s="48">
        <f t="shared" si="12"/>
        <v>2200</v>
      </c>
      <c r="L23" s="48">
        <f t="shared" si="12"/>
        <v>2200</v>
      </c>
      <c r="M23" s="48">
        <f t="shared" si="12"/>
        <v>2200</v>
      </c>
      <c r="N23" s="48">
        <f t="shared" si="12"/>
        <v>2200</v>
      </c>
      <c r="O23" s="48">
        <f t="shared" si="12"/>
        <v>2200</v>
      </c>
      <c r="P23" s="48">
        <f t="shared" si="12"/>
        <v>2200</v>
      </c>
      <c r="Q23" s="48">
        <f t="shared" si="12"/>
        <v>2200</v>
      </c>
      <c r="R23" s="48">
        <f t="shared" si="12"/>
        <v>2200</v>
      </c>
      <c r="S23" s="48">
        <f t="shared" si="12"/>
        <v>2200</v>
      </c>
      <c r="T23" s="48">
        <f t="shared" si="12"/>
        <v>2200</v>
      </c>
      <c r="U23" s="48">
        <f t="shared" si="12"/>
        <v>2200</v>
      </c>
      <c r="V23" s="48">
        <f t="shared" si="12"/>
        <v>2200</v>
      </c>
      <c r="W23" s="48">
        <f t="shared" si="12"/>
        <v>2200</v>
      </c>
      <c r="X23" s="48">
        <f t="shared" si="12"/>
        <v>2200</v>
      </c>
      <c r="Y23" s="48">
        <f t="shared" si="12"/>
        <v>2200</v>
      </c>
      <c r="Z23" s="48">
        <f t="shared" si="12"/>
        <v>2200</v>
      </c>
      <c r="AA23" s="48">
        <f t="shared" si="12"/>
        <v>2200</v>
      </c>
      <c r="AB23" s="48">
        <f t="shared" si="12"/>
        <v>2200</v>
      </c>
      <c r="AC23" s="48">
        <f t="shared" si="12"/>
        <v>2200</v>
      </c>
      <c r="AD23" s="48">
        <f t="shared" si="12"/>
        <v>2200</v>
      </c>
      <c r="AE23" s="48">
        <f t="shared" si="12"/>
        <v>2200</v>
      </c>
      <c r="AF23" s="48">
        <f t="shared" si="12"/>
        <v>2200</v>
      </c>
      <c r="AG23" s="48">
        <f t="shared" si="12"/>
        <v>2200</v>
      </c>
      <c r="AH23" s="48">
        <f t="shared" si="12"/>
        <v>2200</v>
      </c>
      <c r="AI23" s="48">
        <f t="shared" si="12"/>
        <v>2200</v>
      </c>
      <c r="AJ23" s="48">
        <f t="shared" si="12"/>
        <v>2200</v>
      </c>
      <c r="AK23" s="48">
        <f t="shared" si="12"/>
        <v>2200</v>
      </c>
      <c r="AL23" s="48">
        <f t="shared" si="12"/>
        <v>2200</v>
      </c>
      <c r="AM23" s="48">
        <f t="shared" si="12"/>
        <v>2200</v>
      </c>
      <c r="AN23" s="48">
        <f t="shared" si="12"/>
        <v>2200</v>
      </c>
      <c r="AO23" s="48">
        <f t="shared" si="12"/>
        <v>2200</v>
      </c>
      <c r="AP23" s="48">
        <f t="shared" si="12"/>
        <v>2200</v>
      </c>
      <c r="AQ23" s="48">
        <f t="shared" si="12"/>
        <v>2200</v>
      </c>
      <c r="AR23" s="48">
        <f t="shared" si="12"/>
        <v>2200</v>
      </c>
      <c r="AS23" s="48">
        <f t="shared" si="12"/>
        <v>2200</v>
      </c>
      <c r="AT23" s="48">
        <f t="shared" si="12"/>
        <v>2200</v>
      </c>
      <c r="AU23" s="48">
        <f t="shared" si="12"/>
        <v>2200</v>
      </c>
      <c r="AV23" s="48">
        <f t="shared" si="12"/>
        <v>2200</v>
      </c>
      <c r="AW23" s="48">
        <f t="shared" si="12"/>
        <v>2200</v>
      </c>
      <c r="AX23" s="48">
        <f t="shared" si="12"/>
        <v>2200</v>
      </c>
      <c r="AY23" s="48">
        <f t="shared" si="12"/>
        <v>2200</v>
      </c>
      <c r="AZ23" s="48">
        <f t="shared" si="12"/>
        <v>2200</v>
      </c>
      <c r="BA23" s="48">
        <f t="shared" si="12"/>
        <v>2200</v>
      </c>
      <c r="BB23" s="48">
        <f t="shared" si="12"/>
        <v>2200</v>
      </c>
      <c r="BC23" s="48">
        <f t="shared" si="12"/>
        <v>2200</v>
      </c>
      <c r="BD23" s="48">
        <f t="shared" si="12"/>
        <v>2200</v>
      </c>
      <c r="BE23" s="48">
        <f t="shared" si="12"/>
        <v>2200</v>
      </c>
      <c r="BF23" s="48">
        <f t="shared" si="12"/>
        <v>2200</v>
      </c>
      <c r="BG23" s="48">
        <f t="shared" si="12"/>
        <v>2200</v>
      </c>
      <c r="BH23" s="48">
        <f t="shared" si="12"/>
        <v>2200</v>
      </c>
      <c r="BI23" s="48">
        <f t="shared" si="12"/>
        <v>2200</v>
      </c>
    </row>
    <row r="24" spans="1:61" x14ac:dyDescent="0.25">
      <c r="A24" s="59" t="s">
        <v>162</v>
      </c>
      <c r="B24" s="50">
        <v>0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0</v>
      </c>
      <c r="AS24" s="50">
        <v>0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  <c r="AZ24" s="50">
        <v>0</v>
      </c>
      <c r="BA24" s="50">
        <v>0</v>
      </c>
      <c r="BB24" s="50">
        <v>0</v>
      </c>
      <c r="BC24" s="50">
        <v>0</v>
      </c>
      <c r="BD24" s="50">
        <v>0</v>
      </c>
      <c r="BE24" s="50">
        <v>0</v>
      </c>
      <c r="BF24" s="50">
        <v>0</v>
      </c>
      <c r="BG24" s="50">
        <v>0</v>
      </c>
      <c r="BH24" s="50">
        <v>0</v>
      </c>
      <c r="BI24" s="50">
        <v>0</v>
      </c>
    </row>
    <row r="25" spans="1:61" x14ac:dyDescent="0.25">
      <c r="A25" s="59" t="s">
        <v>170</v>
      </c>
      <c r="B25" s="44">
        <v>0.2</v>
      </c>
      <c r="C25" s="27">
        <f>B25*(1+B26)</f>
        <v>0.20200000000000001</v>
      </c>
      <c r="D25" s="27">
        <f t="shared" ref="D25:BI25" si="13">C25*(1+C26)</f>
        <v>0.20402000000000001</v>
      </c>
      <c r="E25" s="27">
        <f t="shared" si="13"/>
        <v>0.2060602</v>
      </c>
      <c r="F25" s="27">
        <f t="shared" si="13"/>
        <v>0.20812080199999999</v>
      </c>
      <c r="G25" s="27">
        <f t="shared" si="13"/>
        <v>0.21020201002</v>
      </c>
      <c r="H25" s="27">
        <f t="shared" si="13"/>
        <v>0.21230403012019999</v>
      </c>
      <c r="I25" s="27">
        <f t="shared" si="13"/>
        <v>0.21442707042140199</v>
      </c>
      <c r="J25" s="27">
        <f t="shared" si="13"/>
        <v>0.21657134112561602</v>
      </c>
      <c r="K25" s="27">
        <f t="shared" si="13"/>
        <v>0.21873705453687217</v>
      </c>
      <c r="L25" s="27">
        <f t="shared" si="13"/>
        <v>0.22092442508224089</v>
      </c>
      <c r="M25" s="27">
        <f t="shared" si="13"/>
        <v>0.22313366933306331</v>
      </c>
      <c r="N25" s="27">
        <f t="shared" si="13"/>
        <v>0.22536500602639395</v>
      </c>
      <c r="O25" s="27">
        <f t="shared" si="13"/>
        <v>0.22761865608665788</v>
      </c>
      <c r="P25" s="27">
        <f t="shared" si="13"/>
        <v>0.22989484264752447</v>
      </c>
      <c r="Q25" s="27">
        <f t="shared" si="13"/>
        <v>0.23219379107399971</v>
      </c>
      <c r="R25" s="27">
        <f t="shared" si="13"/>
        <v>0.23451572898473971</v>
      </c>
      <c r="S25" s="27">
        <f t="shared" si="13"/>
        <v>0.23686088627458712</v>
      </c>
      <c r="T25" s="27">
        <f t="shared" si="13"/>
        <v>0.23922949513733299</v>
      </c>
      <c r="U25" s="27">
        <f t="shared" si="13"/>
        <v>0.24162179008870632</v>
      </c>
      <c r="V25" s="27">
        <f t="shared" si="13"/>
        <v>0.24403800798959338</v>
      </c>
      <c r="W25" s="27">
        <f t="shared" si="13"/>
        <v>0.24647838806948932</v>
      </c>
      <c r="X25" s="27">
        <f t="shared" si="13"/>
        <v>0.24894317195018423</v>
      </c>
      <c r="Y25" s="27">
        <f t="shared" si="13"/>
        <v>0.25143260366968606</v>
      </c>
      <c r="Z25" s="27">
        <f t="shared" si="13"/>
        <v>0.25394692970638294</v>
      </c>
      <c r="AA25" s="27">
        <f t="shared" si="13"/>
        <v>0.25648639900344677</v>
      </c>
      <c r="AB25" s="27">
        <f t="shared" si="13"/>
        <v>0.25905126299348125</v>
      </c>
      <c r="AC25" s="27">
        <f t="shared" si="13"/>
        <v>0.26164177562341606</v>
      </c>
      <c r="AD25" s="27">
        <f t="shared" si="13"/>
        <v>0.26425819337965023</v>
      </c>
      <c r="AE25" s="27">
        <f t="shared" si="13"/>
        <v>0.26690077531344675</v>
      </c>
      <c r="AF25" s="27">
        <f t="shared" si="13"/>
        <v>0.26956978306658119</v>
      </c>
      <c r="AG25" s="27">
        <f t="shared" si="13"/>
        <v>0.272265480897247</v>
      </c>
      <c r="AH25" s="27">
        <f t="shared" si="13"/>
        <v>0.27498813570621949</v>
      </c>
      <c r="AI25" s="27">
        <f t="shared" si="13"/>
        <v>0.27773801706328172</v>
      </c>
      <c r="AJ25" s="27">
        <f t="shared" si="13"/>
        <v>0.28051539723391455</v>
      </c>
      <c r="AK25" s="27">
        <f t="shared" si="13"/>
        <v>0.28332055120625371</v>
      </c>
      <c r="AL25" s="27">
        <f t="shared" si="13"/>
        <v>0.28615375671831628</v>
      </c>
      <c r="AM25" s="27">
        <f t="shared" si="13"/>
        <v>0.28901529428549944</v>
      </c>
      <c r="AN25" s="27">
        <f t="shared" si="13"/>
        <v>0.29190544722835443</v>
      </c>
      <c r="AO25" s="27">
        <f t="shared" si="13"/>
        <v>0.29482450170063795</v>
      </c>
      <c r="AP25" s="27">
        <f t="shared" si="13"/>
        <v>0.29777274671764431</v>
      </c>
      <c r="AQ25" s="27">
        <f t="shared" si="13"/>
        <v>0.30075047418482076</v>
      </c>
      <c r="AR25" s="27">
        <f t="shared" si="13"/>
        <v>0.30375797892666895</v>
      </c>
      <c r="AS25" s="27">
        <f t="shared" si="13"/>
        <v>0.30679555871593561</v>
      </c>
      <c r="AT25" s="27">
        <f t="shared" si="13"/>
        <v>0.30986351430309494</v>
      </c>
      <c r="AU25" s="27">
        <f t="shared" si="13"/>
        <v>0.31296214944612588</v>
      </c>
      <c r="AV25" s="27">
        <f t="shared" si="13"/>
        <v>0.31609177094058716</v>
      </c>
      <c r="AW25" s="27">
        <f t="shared" si="13"/>
        <v>0.31925268864999301</v>
      </c>
      <c r="AX25" s="27">
        <f t="shared" si="13"/>
        <v>0.32244521553649297</v>
      </c>
      <c r="AY25" s="27">
        <f t="shared" si="13"/>
        <v>0.3256696676918579</v>
      </c>
      <c r="AZ25" s="27">
        <f t="shared" si="13"/>
        <v>0.32892636436877648</v>
      </c>
      <c r="BA25" s="27">
        <f t="shared" si="13"/>
        <v>0.33221562801246424</v>
      </c>
      <c r="BB25" s="27">
        <f t="shared" si="13"/>
        <v>0.3355377842925889</v>
      </c>
      <c r="BC25" s="27">
        <f t="shared" si="13"/>
        <v>0.33889316213551479</v>
      </c>
      <c r="BD25" s="27">
        <f t="shared" si="13"/>
        <v>0.34228209375686997</v>
      </c>
      <c r="BE25" s="27">
        <f t="shared" si="13"/>
        <v>0.34570491469443865</v>
      </c>
      <c r="BF25" s="27">
        <f t="shared" si="13"/>
        <v>0.34916196384138304</v>
      </c>
      <c r="BG25" s="27">
        <f t="shared" si="13"/>
        <v>0.35265358347979686</v>
      </c>
      <c r="BH25" s="27">
        <f t="shared" si="13"/>
        <v>0.35618011931459481</v>
      </c>
      <c r="BI25" s="27">
        <f t="shared" si="13"/>
        <v>0.35974192050774079</v>
      </c>
    </row>
    <row r="26" spans="1:61" x14ac:dyDescent="0.25">
      <c r="A26" s="59" t="s">
        <v>162</v>
      </c>
      <c r="B26" s="50">
        <v>0.01</v>
      </c>
      <c r="C26" s="50">
        <v>0.01</v>
      </c>
      <c r="D26" s="50">
        <v>0.01</v>
      </c>
      <c r="E26" s="50">
        <v>0.01</v>
      </c>
      <c r="F26" s="50">
        <v>0.01</v>
      </c>
      <c r="G26" s="50">
        <v>0.01</v>
      </c>
      <c r="H26" s="50">
        <v>0.01</v>
      </c>
      <c r="I26" s="50">
        <v>0.01</v>
      </c>
      <c r="J26" s="50">
        <v>0.01</v>
      </c>
      <c r="K26" s="50">
        <v>0.01</v>
      </c>
      <c r="L26" s="50">
        <v>0.01</v>
      </c>
      <c r="M26" s="50">
        <v>0.01</v>
      </c>
      <c r="N26" s="50">
        <v>0.01</v>
      </c>
      <c r="O26" s="50">
        <v>0.01</v>
      </c>
      <c r="P26" s="50">
        <v>0.01</v>
      </c>
      <c r="Q26" s="50">
        <v>0.01</v>
      </c>
      <c r="R26" s="50">
        <v>0.01</v>
      </c>
      <c r="S26" s="50">
        <v>0.01</v>
      </c>
      <c r="T26" s="50">
        <v>0.01</v>
      </c>
      <c r="U26" s="50">
        <v>0.01</v>
      </c>
      <c r="V26" s="50">
        <v>0.01</v>
      </c>
      <c r="W26" s="50">
        <v>0.01</v>
      </c>
      <c r="X26" s="50">
        <v>0.01</v>
      </c>
      <c r="Y26" s="50">
        <v>0.01</v>
      </c>
      <c r="Z26" s="50">
        <v>0.01</v>
      </c>
      <c r="AA26" s="50">
        <v>0.01</v>
      </c>
      <c r="AB26" s="50">
        <v>0.01</v>
      </c>
      <c r="AC26" s="50">
        <v>0.01</v>
      </c>
      <c r="AD26" s="50">
        <v>0.01</v>
      </c>
      <c r="AE26" s="50">
        <v>0.01</v>
      </c>
      <c r="AF26" s="50">
        <v>0.01</v>
      </c>
      <c r="AG26" s="50">
        <v>0.01</v>
      </c>
      <c r="AH26" s="50">
        <v>0.01</v>
      </c>
      <c r="AI26" s="50">
        <v>0.01</v>
      </c>
      <c r="AJ26" s="50">
        <v>0.01</v>
      </c>
      <c r="AK26" s="50">
        <v>0.01</v>
      </c>
      <c r="AL26" s="50">
        <v>0.01</v>
      </c>
      <c r="AM26" s="50">
        <v>0.01</v>
      </c>
      <c r="AN26" s="50">
        <v>0.01</v>
      </c>
      <c r="AO26" s="50">
        <v>0.01</v>
      </c>
      <c r="AP26" s="50">
        <v>0.01</v>
      </c>
      <c r="AQ26" s="50">
        <v>0.01</v>
      </c>
      <c r="AR26" s="50">
        <v>0.01</v>
      </c>
      <c r="AS26" s="50">
        <v>0.01</v>
      </c>
      <c r="AT26" s="50">
        <v>0.01</v>
      </c>
      <c r="AU26" s="50">
        <v>0.01</v>
      </c>
      <c r="AV26" s="50">
        <v>0.01</v>
      </c>
      <c r="AW26" s="50">
        <v>0.01</v>
      </c>
      <c r="AX26" s="50">
        <v>0.01</v>
      </c>
      <c r="AY26" s="50">
        <v>0.01</v>
      </c>
      <c r="AZ26" s="50">
        <v>0.01</v>
      </c>
      <c r="BA26" s="50">
        <v>0.01</v>
      </c>
      <c r="BB26" s="50">
        <v>0.01</v>
      </c>
      <c r="BC26" s="50">
        <v>0.01</v>
      </c>
      <c r="BD26" s="50">
        <v>0.01</v>
      </c>
      <c r="BE26" s="50">
        <v>0.01</v>
      </c>
      <c r="BF26" s="50">
        <v>0.01</v>
      </c>
      <c r="BG26" s="50">
        <v>0.01</v>
      </c>
      <c r="BH26" s="50">
        <v>0.01</v>
      </c>
      <c r="BI26" s="50">
        <v>0.01</v>
      </c>
    </row>
    <row r="27" spans="1:61" x14ac:dyDescent="0.25">
      <c r="A27" s="59" t="s">
        <v>178</v>
      </c>
      <c r="B27" s="60">
        <f>B25*B20</f>
        <v>0</v>
      </c>
      <c r="C27" s="60">
        <f t="shared" ref="C27:BI27" si="14">C25*C20</f>
        <v>0</v>
      </c>
      <c r="D27" s="60">
        <f t="shared" si="14"/>
        <v>0</v>
      </c>
      <c r="E27" s="60">
        <f t="shared" si="14"/>
        <v>67.970859292687493</v>
      </c>
      <c r="F27" s="60">
        <f t="shared" si="14"/>
        <v>69.491384830670043</v>
      </c>
      <c r="G27" s="60">
        <f t="shared" si="14"/>
        <v>71.050872109704088</v>
      </c>
      <c r="H27" s="60">
        <f t="shared" si="14"/>
        <v>72.650623516061927</v>
      </c>
      <c r="I27" s="60">
        <f t="shared" si="14"/>
        <v>74.292002173110276</v>
      </c>
      <c r="J27" s="60">
        <f t="shared" si="14"/>
        <v>75.976435547866146</v>
      </c>
      <c r="K27" s="60">
        <f t="shared" si="14"/>
        <v>77.705419297513728</v>
      </c>
      <c r="L27" s="60">
        <f t="shared" si="14"/>
        <v>79.48052137254696</v>
      </c>
      <c r="M27" s="60">
        <f t="shared" si="14"/>
        <v>81.303386394378649</v>
      </c>
      <c r="N27" s="60">
        <f t="shared" si="14"/>
        <v>83.175740326514813</v>
      </c>
      <c r="O27" s="60">
        <f t="shared" si="14"/>
        <v>85.099395459740279</v>
      </c>
      <c r="P27" s="60">
        <f t="shared" si="14"/>
        <v>87.076255733204846</v>
      </c>
      <c r="Q27" s="60">
        <f t="shared" si="14"/>
        <v>89.108322414844608</v>
      </c>
      <c r="R27" s="60">
        <f t="shared" si="14"/>
        <v>91.197700166228117</v>
      </c>
      <c r="S27" s="60">
        <f t="shared" si="14"/>
        <v>93.346603518689292</v>
      </c>
      <c r="T27" s="60">
        <f t="shared" si="14"/>
        <v>95.557363789506994</v>
      </c>
      <c r="U27" s="60">
        <f t="shared" si="14"/>
        <v>97.832436468924072</v>
      </c>
      <c r="V27" s="60">
        <f t="shared" si="14"/>
        <v>100.17440911097559</v>
      </c>
      <c r="W27" s="60">
        <f t="shared" si="14"/>
        <v>102.58600976342709</v>
      </c>
      <c r="X27" s="60">
        <f t="shared" si="14"/>
        <v>105.07011597462095</v>
      </c>
      <c r="Y27" s="60">
        <f t="shared" si="14"/>
        <v>107.62976441770243</v>
      </c>
      <c r="Z27" s="60">
        <f t="shared" si="14"/>
        <v>110.26816117556129</v>
      </c>
      <c r="AA27" s="60">
        <f t="shared" si="14"/>
        <v>112.98869273289138</v>
      </c>
      <c r="AB27" s="60">
        <f t="shared" si="14"/>
        <v>115.79493772505579</v>
      </c>
      <c r="AC27" s="60">
        <f t="shared" si="14"/>
        <v>118.69067949696287</v>
      </c>
      <c r="AD27" s="60">
        <f t="shared" si="14"/>
        <v>121.67991952892596</v>
      </c>
      <c r="AE27" s="60">
        <f t="shared" si="14"/>
        <v>124.76689179051479</v>
      </c>
      <c r="AF27" s="60">
        <f t="shared" si="14"/>
        <v>127.95607808772857</v>
      </c>
      <c r="AG27" s="60">
        <f t="shared" si="14"/>
        <v>131.25222447344882</v>
      </c>
      <c r="AH27" s="60">
        <f t="shared" si="14"/>
        <v>134.66035879608714</v>
      </c>
      <c r="AI27" s="60">
        <f t="shared" si="14"/>
        <v>138.18580946665253</v>
      </c>
      <c r="AJ27" s="60">
        <f t="shared" si="14"/>
        <v>141.83422553014904</v>
      </c>
      <c r="AK27" s="60">
        <f t="shared" si="14"/>
        <v>145.61159813330451</v>
      </c>
      <c r="AL27" s="60">
        <f t="shared" si="14"/>
        <v>149.5242834871531</v>
      </c>
      <c r="AM27" s="60">
        <f t="shared" si="14"/>
        <v>153.57902742998166</v>
      </c>
      <c r="AN27" s="60">
        <f t="shared" si="14"/>
        <v>157.78299170363053</v>
      </c>
      <c r="AO27" s="60">
        <f t="shared" si="14"/>
        <v>162.1437820641535</v>
      </c>
      <c r="AP27" s="60">
        <f t="shared" si="14"/>
        <v>166.66947835642404</v>
      </c>
      <c r="AQ27" s="60">
        <f t="shared" si="14"/>
        <v>171.36866669146889</v>
      </c>
      <c r="AR27" s="60">
        <f t="shared" si="14"/>
        <v>176.25047387515278</v>
      </c>
      <c r="AS27" s="60">
        <f t="shared" si="14"/>
        <v>181.32460424738562</v>
      </c>
      <c r="AT27" s="60">
        <f t="shared" si="14"/>
        <v>186.60137910231674</v>
      </c>
      <c r="AU27" s="60">
        <f t="shared" si="14"/>
        <v>192.09177887207636</v>
      </c>
      <c r="AV27" s="60">
        <f t="shared" si="14"/>
        <v>197.80748826958265</v>
      </c>
      <c r="AW27" s="60">
        <f t="shared" si="14"/>
        <v>203.76094459980675</v>
      </c>
      <c r="AX27" s="60">
        <f t="shared" si="14"/>
        <v>209.9653894637533</v>
      </c>
      <c r="AY27" s="60">
        <f t="shared" si="14"/>
        <v>216.43492409533064</v>
      </c>
      <c r="AZ27" s="60">
        <f t="shared" si="14"/>
        <v>223.18456858833653</v>
      </c>
      <c r="BA27" s="60">
        <f t="shared" si="14"/>
        <v>230.23032528904432</v>
      </c>
      <c r="BB27" s="60">
        <f t="shared" si="14"/>
        <v>237.5892466494372</v>
      </c>
      <c r="BC27" s="60">
        <f t="shared" si="14"/>
        <v>245.27950785708319</v>
      </c>
      <c r="BD27" s="60">
        <f t="shared" si="14"/>
        <v>253.32048458008504</v>
      </c>
      <c r="BE27" s="60">
        <f t="shared" si="14"/>
        <v>261.7328361895689</v>
      </c>
      <c r="BF27" s="60">
        <f t="shared" si="14"/>
        <v>270.538594847919</v>
      </c>
      <c r="BG27" s="60">
        <f t="shared" si="14"/>
        <v>279.76126087853129</v>
      </c>
      <c r="BH27" s="60">
        <f t="shared" si="14"/>
        <v>289.42590486239413</v>
      </c>
      <c r="BI27" s="60">
        <f t="shared" si="14"/>
        <v>299.55927693842591</v>
      </c>
    </row>
    <row r="28" spans="1:61" x14ac:dyDescent="0.25">
      <c r="A28" s="59" t="s">
        <v>173</v>
      </c>
      <c r="B28" s="49">
        <v>2500</v>
      </c>
      <c r="C28" s="48">
        <f>B28*(1+B29)</f>
        <v>2500</v>
      </c>
      <c r="D28" s="48">
        <f t="shared" ref="D28:BI28" si="15">C28*(1+C29)</f>
        <v>2500</v>
      </c>
      <c r="E28" s="48">
        <f t="shared" si="15"/>
        <v>2500</v>
      </c>
      <c r="F28" s="48">
        <f t="shared" si="15"/>
        <v>2500</v>
      </c>
      <c r="G28" s="48">
        <f t="shared" si="15"/>
        <v>2500</v>
      </c>
      <c r="H28" s="48">
        <f t="shared" si="15"/>
        <v>2500</v>
      </c>
      <c r="I28" s="48">
        <f t="shared" si="15"/>
        <v>2500</v>
      </c>
      <c r="J28" s="48">
        <f t="shared" si="15"/>
        <v>2500</v>
      </c>
      <c r="K28" s="48">
        <f t="shared" si="15"/>
        <v>2500</v>
      </c>
      <c r="L28" s="48">
        <f t="shared" si="15"/>
        <v>2500</v>
      </c>
      <c r="M28" s="48">
        <f t="shared" si="15"/>
        <v>2500</v>
      </c>
      <c r="N28" s="48">
        <f t="shared" si="15"/>
        <v>2500</v>
      </c>
      <c r="O28" s="48">
        <f t="shared" si="15"/>
        <v>2500</v>
      </c>
      <c r="P28" s="48">
        <f t="shared" si="15"/>
        <v>2500</v>
      </c>
      <c r="Q28" s="48">
        <f t="shared" si="15"/>
        <v>2500</v>
      </c>
      <c r="R28" s="48">
        <f t="shared" si="15"/>
        <v>2500</v>
      </c>
      <c r="S28" s="48">
        <f t="shared" si="15"/>
        <v>2500</v>
      </c>
      <c r="T28" s="48">
        <f t="shared" si="15"/>
        <v>2500</v>
      </c>
      <c r="U28" s="48">
        <f t="shared" si="15"/>
        <v>2500</v>
      </c>
      <c r="V28" s="48">
        <f t="shared" si="15"/>
        <v>2500</v>
      </c>
      <c r="W28" s="48">
        <f t="shared" si="15"/>
        <v>2500</v>
      </c>
      <c r="X28" s="48">
        <f t="shared" si="15"/>
        <v>2500</v>
      </c>
      <c r="Y28" s="48">
        <f t="shared" si="15"/>
        <v>2500</v>
      </c>
      <c r="Z28" s="48">
        <f t="shared" si="15"/>
        <v>2500</v>
      </c>
      <c r="AA28" s="48">
        <f t="shared" si="15"/>
        <v>2500</v>
      </c>
      <c r="AB28" s="48">
        <f t="shared" si="15"/>
        <v>2500</v>
      </c>
      <c r="AC28" s="48">
        <f t="shared" si="15"/>
        <v>2500</v>
      </c>
      <c r="AD28" s="48">
        <f t="shared" si="15"/>
        <v>2500</v>
      </c>
      <c r="AE28" s="48">
        <f t="shared" si="15"/>
        <v>2500</v>
      </c>
      <c r="AF28" s="48">
        <f t="shared" si="15"/>
        <v>2500</v>
      </c>
      <c r="AG28" s="48">
        <f t="shared" si="15"/>
        <v>2500</v>
      </c>
      <c r="AH28" s="48">
        <f t="shared" si="15"/>
        <v>2500</v>
      </c>
      <c r="AI28" s="48">
        <f t="shared" si="15"/>
        <v>2500</v>
      </c>
      <c r="AJ28" s="48">
        <f t="shared" si="15"/>
        <v>2500</v>
      </c>
      <c r="AK28" s="48">
        <f t="shared" si="15"/>
        <v>2500</v>
      </c>
      <c r="AL28" s="48">
        <f t="shared" si="15"/>
        <v>2500</v>
      </c>
      <c r="AM28" s="48">
        <f t="shared" si="15"/>
        <v>2500</v>
      </c>
      <c r="AN28" s="48">
        <f t="shared" si="15"/>
        <v>2500</v>
      </c>
      <c r="AO28" s="48">
        <f t="shared" si="15"/>
        <v>2500</v>
      </c>
      <c r="AP28" s="48">
        <f t="shared" si="15"/>
        <v>2500</v>
      </c>
      <c r="AQ28" s="48">
        <f t="shared" si="15"/>
        <v>2500</v>
      </c>
      <c r="AR28" s="48">
        <f t="shared" si="15"/>
        <v>2500</v>
      </c>
      <c r="AS28" s="48">
        <f t="shared" si="15"/>
        <v>2500</v>
      </c>
      <c r="AT28" s="48">
        <f t="shared" si="15"/>
        <v>2500</v>
      </c>
      <c r="AU28" s="48">
        <f t="shared" si="15"/>
        <v>2500</v>
      </c>
      <c r="AV28" s="48">
        <f t="shared" si="15"/>
        <v>2500</v>
      </c>
      <c r="AW28" s="48">
        <f t="shared" si="15"/>
        <v>2500</v>
      </c>
      <c r="AX28" s="48">
        <f t="shared" si="15"/>
        <v>2500</v>
      </c>
      <c r="AY28" s="48">
        <f t="shared" si="15"/>
        <v>2500</v>
      </c>
      <c r="AZ28" s="48">
        <f t="shared" si="15"/>
        <v>2500</v>
      </c>
      <c r="BA28" s="48">
        <f t="shared" si="15"/>
        <v>2500</v>
      </c>
      <c r="BB28" s="48">
        <f t="shared" si="15"/>
        <v>2500</v>
      </c>
      <c r="BC28" s="48">
        <f t="shared" si="15"/>
        <v>2500</v>
      </c>
      <c r="BD28" s="48">
        <f t="shared" si="15"/>
        <v>2500</v>
      </c>
      <c r="BE28" s="48">
        <f t="shared" si="15"/>
        <v>2500</v>
      </c>
      <c r="BF28" s="48">
        <f t="shared" si="15"/>
        <v>2500</v>
      </c>
      <c r="BG28" s="48">
        <f t="shared" si="15"/>
        <v>2500</v>
      </c>
      <c r="BH28" s="48">
        <f t="shared" si="15"/>
        <v>2500</v>
      </c>
      <c r="BI28" s="48">
        <f t="shared" si="15"/>
        <v>2500</v>
      </c>
    </row>
    <row r="29" spans="1:61" x14ac:dyDescent="0.25">
      <c r="A29" s="59" t="s">
        <v>162</v>
      </c>
      <c r="B29" s="50">
        <v>0</v>
      </c>
      <c r="C29" s="50">
        <v>0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50">
        <v>0</v>
      </c>
      <c r="AO29" s="50">
        <v>0</v>
      </c>
      <c r="AP29" s="50">
        <v>0</v>
      </c>
      <c r="AQ29" s="50">
        <v>0</v>
      </c>
      <c r="AR29" s="50">
        <v>0</v>
      </c>
      <c r="AS29" s="50">
        <v>0</v>
      </c>
      <c r="AT29" s="50">
        <v>0</v>
      </c>
      <c r="AU29" s="50">
        <v>0</v>
      </c>
      <c r="AV29" s="50">
        <v>0</v>
      </c>
      <c r="AW29" s="50">
        <v>0</v>
      </c>
      <c r="AX29" s="50">
        <v>0</v>
      </c>
      <c r="AY29" s="50">
        <v>0</v>
      </c>
      <c r="AZ29" s="50">
        <v>0</v>
      </c>
      <c r="BA29" s="50">
        <v>0</v>
      </c>
      <c r="BB29" s="50">
        <v>0</v>
      </c>
      <c r="BC29" s="50">
        <v>0</v>
      </c>
      <c r="BD29" s="50">
        <v>0</v>
      </c>
      <c r="BE29" s="50">
        <v>0</v>
      </c>
      <c r="BF29" s="50">
        <v>0</v>
      </c>
      <c r="BG29" s="50">
        <v>0</v>
      </c>
      <c r="BH29" s="50">
        <v>0</v>
      </c>
      <c r="BI29" s="50">
        <v>0</v>
      </c>
    </row>
    <row r="30" spans="1:61" x14ac:dyDescent="0.25">
      <c r="A30" s="59" t="s">
        <v>171</v>
      </c>
      <c r="B30" s="44">
        <v>0.05</v>
      </c>
      <c r="C30" s="27">
        <f>B30*(1+B31)</f>
        <v>5.0500000000000003E-2</v>
      </c>
      <c r="D30" s="27">
        <f t="shared" ref="D30:BI30" si="16">C30*(1+C31)</f>
        <v>5.1005000000000002E-2</v>
      </c>
      <c r="E30" s="27">
        <f t="shared" si="16"/>
        <v>5.151505E-2</v>
      </c>
      <c r="F30" s="27">
        <f t="shared" si="16"/>
        <v>5.2030200499999998E-2</v>
      </c>
      <c r="G30" s="27">
        <f t="shared" si="16"/>
        <v>5.2550502504999999E-2</v>
      </c>
      <c r="H30" s="27">
        <f t="shared" si="16"/>
        <v>5.3076007530049998E-2</v>
      </c>
      <c r="I30" s="27">
        <f t="shared" si="16"/>
        <v>5.3606767605350499E-2</v>
      </c>
      <c r="J30" s="27">
        <f t="shared" si="16"/>
        <v>5.4142835281404005E-2</v>
      </c>
      <c r="K30" s="27">
        <f t="shared" si="16"/>
        <v>5.4684263634218043E-2</v>
      </c>
      <c r="L30" s="27">
        <f t="shared" si="16"/>
        <v>5.5231106270560222E-2</v>
      </c>
      <c r="M30" s="27">
        <f t="shared" si="16"/>
        <v>5.5783417333265826E-2</v>
      </c>
      <c r="N30" s="27">
        <f t="shared" si="16"/>
        <v>5.6341251506598487E-2</v>
      </c>
      <c r="O30" s="27">
        <f t="shared" si="16"/>
        <v>5.6904664021664469E-2</v>
      </c>
      <c r="P30" s="27">
        <f t="shared" si="16"/>
        <v>5.7473710661881117E-2</v>
      </c>
      <c r="Q30" s="27">
        <f t="shared" si="16"/>
        <v>5.8048447768499926E-2</v>
      </c>
      <c r="R30" s="27">
        <f t="shared" si="16"/>
        <v>5.8628932246184928E-2</v>
      </c>
      <c r="S30" s="27">
        <f t="shared" si="16"/>
        <v>5.9215221568646781E-2</v>
      </c>
      <c r="T30" s="27">
        <f t="shared" si="16"/>
        <v>5.9807373784333248E-2</v>
      </c>
      <c r="U30" s="27">
        <f t="shared" si="16"/>
        <v>6.0405447522176581E-2</v>
      </c>
      <c r="V30" s="27">
        <f t="shared" si="16"/>
        <v>6.1009501997398345E-2</v>
      </c>
      <c r="W30" s="27">
        <f t="shared" si="16"/>
        <v>6.1619597017372331E-2</v>
      </c>
      <c r="X30" s="27">
        <f t="shared" si="16"/>
        <v>6.2235792987546057E-2</v>
      </c>
      <c r="Y30" s="27">
        <f t="shared" si="16"/>
        <v>6.2858150917421515E-2</v>
      </c>
      <c r="Z30" s="27">
        <f t="shared" si="16"/>
        <v>6.3486732426595735E-2</v>
      </c>
      <c r="AA30" s="27">
        <f t="shared" si="16"/>
        <v>6.4121599750861694E-2</v>
      </c>
      <c r="AB30" s="27">
        <f t="shared" si="16"/>
        <v>6.4762815748370312E-2</v>
      </c>
      <c r="AC30" s="27">
        <f t="shared" si="16"/>
        <v>6.5410443905854015E-2</v>
      </c>
      <c r="AD30" s="27">
        <f t="shared" si="16"/>
        <v>6.6064548344912558E-2</v>
      </c>
      <c r="AE30" s="27">
        <f t="shared" si="16"/>
        <v>6.6725193828361687E-2</v>
      </c>
      <c r="AF30" s="27">
        <f t="shared" si="16"/>
        <v>6.7392445766645298E-2</v>
      </c>
      <c r="AG30" s="27">
        <f t="shared" si="16"/>
        <v>6.8066370224311751E-2</v>
      </c>
      <c r="AH30" s="27">
        <f t="shared" si="16"/>
        <v>6.8747033926554874E-2</v>
      </c>
      <c r="AI30" s="27">
        <f t="shared" si="16"/>
        <v>6.9434504265820429E-2</v>
      </c>
      <c r="AJ30" s="27">
        <f t="shared" si="16"/>
        <v>7.0128849308478639E-2</v>
      </c>
      <c r="AK30" s="27">
        <f t="shared" si="16"/>
        <v>7.0830137801563428E-2</v>
      </c>
      <c r="AL30" s="27">
        <f t="shared" si="16"/>
        <v>7.1538439179579069E-2</v>
      </c>
      <c r="AM30" s="27">
        <f t="shared" si="16"/>
        <v>7.2253823571374859E-2</v>
      </c>
      <c r="AN30" s="27">
        <f t="shared" si="16"/>
        <v>7.2976361807088608E-2</v>
      </c>
      <c r="AO30" s="27">
        <f t="shared" si="16"/>
        <v>7.3706125425159488E-2</v>
      </c>
      <c r="AP30" s="27">
        <f t="shared" si="16"/>
        <v>7.4443186679411077E-2</v>
      </c>
      <c r="AQ30" s="27">
        <f t="shared" si="16"/>
        <v>7.518761854620519E-2</v>
      </c>
      <c r="AR30" s="27">
        <f t="shared" si="16"/>
        <v>7.5939494731667237E-2</v>
      </c>
      <c r="AS30" s="27">
        <f t="shared" si="16"/>
        <v>7.6698889678983903E-2</v>
      </c>
      <c r="AT30" s="27">
        <f t="shared" si="16"/>
        <v>7.7465878575773736E-2</v>
      </c>
      <c r="AU30" s="27">
        <f t="shared" si="16"/>
        <v>7.824053736153147E-2</v>
      </c>
      <c r="AV30" s="27">
        <f t="shared" si="16"/>
        <v>7.9022942735146789E-2</v>
      </c>
      <c r="AW30" s="27">
        <f t="shared" si="16"/>
        <v>7.9813172162498253E-2</v>
      </c>
      <c r="AX30" s="27">
        <f t="shared" si="16"/>
        <v>8.0611303884123242E-2</v>
      </c>
      <c r="AY30" s="27">
        <f t="shared" si="16"/>
        <v>8.1417416922964475E-2</v>
      </c>
      <c r="AZ30" s="27">
        <f t="shared" si="16"/>
        <v>8.223159109219412E-2</v>
      </c>
      <c r="BA30" s="27">
        <f t="shared" si="16"/>
        <v>8.3053907003116059E-2</v>
      </c>
      <c r="BB30" s="27">
        <f t="shared" si="16"/>
        <v>8.3884446073147226E-2</v>
      </c>
      <c r="BC30" s="27">
        <f t="shared" si="16"/>
        <v>8.4723290533878698E-2</v>
      </c>
      <c r="BD30" s="27">
        <f t="shared" si="16"/>
        <v>8.5570523439217491E-2</v>
      </c>
      <c r="BE30" s="27">
        <f t="shared" si="16"/>
        <v>8.6426228673609662E-2</v>
      </c>
      <c r="BF30" s="27">
        <f t="shared" si="16"/>
        <v>8.729049096034576E-2</v>
      </c>
      <c r="BG30" s="27">
        <f t="shared" si="16"/>
        <v>8.8163395869949215E-2</v>
      </c>
      <c r="BH30" s="27">
        <f t="shared" si="16"/>
        <v>8.9045029828648703E-2</v>
      </c>
      <c r="BI30" s="27">
        <f t="shared" si="16"/>
        <v>8.9935480126935197E-2</v>
      </c>
    </row>
    <row r="31" spans="1:61" x14ac:dyDescent="0.25">
      <c r="A31" s="59" t="s">
        <v>162</v>
      </c>
      <c r="B31" s="50">
        <v>0.01</v>
      </c>
      <c r="C31" s="50">
        <v>0.01</v>
      </c>
      <c r="D31" s="50">
        <v>0.01</v>
      </c>
      <c r="E31" s="50">
        <v>0.01</v>
      </c>
      <c r="F31" s="50">
        <v>0.01</v>
      </c>
      <c r="G31" s="50">
        <v>0.01</v>
      </c>
      <c r="H31" s="50">
        <v>0.01</v>
      </c>
      <c r="I31" s="50">
        <v>0.01</v>
      </c>
      <c r="J31" s="50">
        <v>0.01</v>
      </c>
      <c r="K31" s="50">
        <v>0.01</v>
      </c>
      <c r="L31" s="50">
        <v>0.01</v>
      </c>
      <c r="M31" s="50">
        <v>0.01</v>
      </c>
      <c r="N31" s="50">
        <v>0.01</v>
      </c>
      <c r="O31" s="50">
        <v>0.01</v>
      </c>
      <c r="P31" s="50">
        <v>0.01</v>
      </c>
      <c r="Q31" s="50">
        <v>0.01</v>
      </c>
      <c r="R31" s="50">
        <v>0.01</v>
      </c>
      <c r="S31" s="50">
        <v>0.01</v>
      </c>
      <c r="T31" s="50">
        <v>0.01</v>
      </c>
      <c r="U31" s="50">
        <v>0.01</v>
      </c>
      <c r="V31" s="50">
        <v>0.01</v>
      </c>
      <c r="W31" s="50">
        <v>0.01</v>
      </c>
      <c r="X31" s="50">
        <v>0.01</v>
      </c>
      <c r="Y31" s="50">
        <v>0.01</v>
      </c>
      <c r="Z31" s="50">
        <v>0.01</v>
      </c>
      <c r="AA31" s="50">
        <v>0.01</v>
      </c>
      <c r="AB31" s="50">
        <v>0.01</v>
      </c>
      <c r="AC31" s="50">
        <v>0.01</v>
      </c>
      <c r="AD31" s="50">
        <v>0.01</v>
      </c>
      <c r="AE31" s="50">
        <v>0.01</v>
      </c>
      <c r="AF31" s="50">
        <v>0.01</v>
      </c>
      <c r="AG31" s="50">
        <v>0.01</v>
      </c>
      <c r="AH31" s="50">
        <v>0.01</v>
      </c>
      <c r="AI31" s="50">
        <v>0.01</v>
      </c>
      <c r="AJ31" s="50">
        <v>0.01</v>
      </c>
      <c r="AK31" s="50">
        <v>0.01</v>
      </c>
      <c r="AL31" s="50">
        <v>0.01</v>
      </c>
      <c r="AM31" s="50">
        <v>0.01</v>
      </c>
      <c r="AN31" s="50">
        <v>0.01</v>
      </c>
      <c r="AO31" s="50">
        <v>0.01</v>
      </c>
      <c r="AP31" s="50">
        <v>0.01</v>
      </c>
      <c r="AQ31" s="50">
        <v>0.01</v>
      </c>
      <c r="AR31" s="50">
        <v>0.01</v>
      </c>
      <c r="AS31" s="50">
        <v>0.01</v>
      </c>
      <c r="AT31" s="50">
        <v>0.01</v>
      </c>
      <c r="AU31" s="50">
        <v>0.01</v>
      </c>
      <c r="AV31" s="50">
        <v>0.01</v>
      </c>
      <c r="AW31" s="50">
        <v>0.01</v>
      </c>
      <c r="AX31" s="50">
        <v>0.01</v>
      </c>
      <c r="AY31" s="50">
        <v>0.01</v>
      </c>
      <c r="AZ31" s="50">
        <v>0.01</v>
      </c>
      <c r="BA31" s="50">
        <v>0.01</v>
      </c>
      <c r="BB31" s="50">
        <v>0.01</v>
      </c>
      <c r="BC31" s="50">
        <v>0.01</v>
      </c>
      <c r="BD31" s="50">
        <v>0.01</v>
      </c>
      <c r="BE31" s="50">
        <v>0.01</v>
      </c>
      <c r="BF31" s="50">
        <v>0.01</v>
      </c>
      <c r="BG31" s="50">
        <v>0.01</v>
      </c>
      <c r="BH31" s="50">
        <v>0.01</v>
      </c>
      <c r="BI31" s="50">
        <v>0.01</v>
      </c>
    </row>
    <row r="32" spans="1:61" x14ac:dyDescent="0.25">
      <c r="A32" s="59" t="s">
        <v>180</v>
      </c>
      <c r="B32" s="60">
        <f>B30*B20</f>
        <v>0</v>
      </c>
      <c r="C32" s="60">
        <f t="shared" ref="C32:BI32" si="17">C30*C20</f>
        <v>0</v>
      </c>
      <c r="D32" s="60">
        <f t="shared" si="17"/>
        <v>0</v>
      </c>
      <c r="E32" s="60">
        <f t="shared" si="17"/>
        <v>16.992714823171873</v>
      </c>
      <c r="F32" s="60">
        <f t="shared" si="17"/>
        <v>17.372846207667511</v>
      </c>
      <c r="G32" s="60">
        <f t="shared" si="17"/>
        <v>17.762718027426022</v>
      </c>
      <c r="H32" s="60">
        <f t="shared" si="17"/>
        <v>18.162655879015482</v>
      </c>
      <c r="I32" s="60">
        <f t="shared" si="17"/>
        <v>18.573000543277569</v>
      </c>
      <c r="J32" s="60">
        <f t="shared" si="17"/>
        <v>18.994108886966536</v>
      </c>
      <c r="K32" s="60">
        <f t="shared" si="17"/>
        <v>19.426354824378432</v>
      </c>
      <c r="L32" s="60">
        <f t="shared" si="17"/>
        <v>19.87013034313674</v>
      </c>
      <c r="M32" s="60">
        <f t="shared" si="17"/>
        <v>20.325846598594662</v>
      </c>
      <c r="N32" s="60">
        <f t="shared" si="17"/>
        <v>20.793935081628703</v>
      </c>
      <c r="O32" s="60">
        <f t="shared" si="17"/>
        <v>21.27484886493507</v>
      </c>
      <c r="P32" s="60">
        <f t="shared" si="17"/>
        <v>21.769063933301211</v>
      </c>
      <c r="Q32" s="60">
        <f t="shared" si="17"/>
        <v>22.277080603711152</v>
      </c>
      <c r="R32" s="60">
        <f t="shared" si="17"/>
        <v>22.799425041557029</v>
      </c>
      <c r="S32" s="60">
        <f t="shared" si="17"/>
        <v>23.336650879672323</v>
      </c>
      <c r="T32" s="60">
        <f t="shared" si="17"/>
        <v>23.889340947376748</v>
      </c>
      <c r="U32" s="60">
        <f t="shared" si="17"/>
        <v>24.458109117231018</v>
      </c>
      <c r="V32" s="60">
        <f t="shared" si="17"/>
        <v>25.043602277743897</v>
      </c>
      <c r="W32" s="60">
        <f t="shared" si="17"/>
        <v>25.646502440856771</v>
      </c>
      <c r="X32" s="60">
        <f t="shared" si="17"/>
        <v>26.267528993655237</v>
      </c>
      <c r="Y32" s="60">
        <f t="shared" si="17"/>
        <v>26.907441104425608</v>
      </c>
      <c r="Z32" s="60">
        <f t="shared" si="17"/>
        <v>27.567040293890322</v>
      </c>
      <c r="AA32" s="60">
        <f t="shared" si="17"/>
        <v>28.247173183222845</v>
      </c>
      <c r="AB32" s="60">
        <f t="shared" si="17"/>
        <v>28.948734431263947</v>
      </c>
      <c r="AC32" s="60">
        <f t="shared" si="17"/>
        <v>29.672669874240718</v>
      </c>
      <c r="AD32" s="60">
        <f t="shared" si="17"/>
        <v>30.419979882231491</v>
      </c>
      <c r="AE32" s="60">
        <f t="shared" si="17"/>
        <v>31.191722947628698</v>
      </c>
      <c r="AF32" s="60">
        <f t="shared" si="17"/>
        <v>31.989019521932143</v>
      </c>
      <c r="AG32" s="60">
        <f t="shared" si="17"/>
        <v>32.813056118362205</v>
      </c>
      <c r="AH32" s="60">
        <f t="shared" si="17"/>
        <v>33.665089699021784</v>
      </c>
      <c r="AI32" s="60">
        <f t="shared" si="17"/>
        <v>34.546452366663132</v>
      </c>
      <c r="AJ32" s="60">
        <f t="shared" si="17"/>
        <v>35.45855638253726</v>
      </c>
      <c r="AK32" s="60">
        <f t="shared" si="17"/>
        <v>36.402899533326128</v>
      </c>
      <c r="AL32" s="60">
        <f t="shared" si="17"/>
        <v>37.381070871788275</v>
      </c>
      <c r="AM32" s="60">
        <f t="shared" si="17"/>
        <v>38.394756857495416</v>
      </c>
      <c r="AN32" s="60">
        <f t="shared" si="17"/>
        <v>39.445747925907632</v>
      </c>
      <c r="AO32" s="60">
        <f t="shared" si="17"/>
        <v>40.535945516038375</v>
      </c>
      <c r="AP32" s="60">
        <f t="shared" si="17"/>
        <v>41.667369589106009</v>
      </c>
      <c r="AQ32" s="60">
        <f t="shared" si="17"/>
        <v>42.842166672867222</v>
      </c>
      <c r="AR32" s="60">
        <f t="shared" si="17"/>
        <v>44.062618468788195</v>
      </c>
      <c r="AS32" s="60">
        <f t="shared" si="17"/>
        <v>45.331151061846406</v>
      </c>
      <c r="AT32" s="60">
        <f t="shared" si="17"/>
        <v>46.650344775579185</v>
      </c>
      <c r="AU32" s="60">
        <f t="shared" si="17"/>
        <v>48.02294471801909</v>
      </c>
      <c r="AV32" s="60">
        <f t="shared" si="17"/>
        <v>49.451872067395662</v>
      </c>
      <c r="AW32" s="60">
        <f t="shared" si="17"/>
        <v>50.940236149951687</v>
      </c>
      <c r="AX32" s="60">
        <f t="shared" si="17"/>
        <v>52.491347365938324</v>
      </c>
      <c r="AY32" s="60">
        <f t="shared" si="17"/>
        <v>54.108731023832661</v>
      </c>
      <c r="AZ32" s="60">
        <f t="shared" si="17"/>
        <v>55.796142147084133</v>
      </c>
      <c r="BA32" s="60">
        <f t="shared" si="17"/>
        <v>57.557581322261079</v>
      </c>
      <c r="BB32" s="60">
        <f t="shared" si="17"/>
        <v>59.3973116623593</v>
      </c>
      <c r="BC32" s="60">
        <f t="shared" si="17"/>
        <v>61.319876964270797</v>
      </c>
      <c r="BD32" s="60">
        <f t="shared" si="17"/>
        <v>63.330121145021259</v>
      </c>
      <c r="BE32" s="60">
        <f t="shared" si="17"/>
        <v>65.433209047392225</v>
      </c>
      <c r="BF32" s="60">
        <f t="shared" si="17"/>
        <v>67.63464871197975</v>
      </c>
      <c r="BG32" s="60">
        <f t="shared" si="17"/>
        <v>69.940315219632822</v>
      </c>
      <c r="BH32" s="60">
        <f t="shared" si="17"/>
        <v>72.356476215598533</v>
      </c>
      <c r="BI32" s="60">
        <f t="shared" si="17"/>
        <v>74.889819234606477</v>
      </c>
    </row>
    <row r="33" spans="1:61" x14ac:dyDescent="0.25">
      <c r="A33" s="59" t="s">
        <v>174</v>
      </c>
      <c r="B33" s="49">
        <v>2800</v>
      </c>
      <c r="C33" s="48">
        <f>B33*(1+B34)</f>
        <v>2802.7999999999997</v>
      </c>
      <c r="D33" s="48">
        <f t="shared" ref="D33:BI33" si="18">C33*(1+C34)</f>
        <v>2805.6027999999992</v>
      </c>
      <c r="E33" s="48">
        <f t="shared" si="18"/>
        <v>2808.4084027999988</v>
      </c>
      <c r="F33" s="48">
        <f t="shared" si="18"/>
        <v>2811.2168112027985</v>
      </c>
      <c r="G33" s="48">
        <f t="shared" si="18"/>
        <v>2814.0280280140009</v>
      </c>
      <c r="H33" s="48">
        <f t="shared" si="18"/>
        <v>2816.8420560420145</v>
      </c>
      <c r="I33" s="48">
        <f t="shared" si="18"/>
        <v>2819.6588980980564</v>
      </c>
      <c r="J33" s="48">
        <f t="shared" si="18"/>
        <v>2822.4785569961541</v>
      </c>
      <c r="K33" s="48">
        <f t="shared" si="18"/>
        <v>2825.3010355531501</v>
      </c>
      <c r="L33" s="48">
        <f t="shared" si="18"/>
        <v>2828.126336588703</v>
      </c>
      <c r="M33" s="48">
        <f t="shared" si="18"/>
        <v>2830.9544629252914</v>
      </c>
      <c r="N33" s="48">
        <f t="shared" si="18"/>
        <v>2833.7854173882165</v>
      </c>
      <c r="O33" s="48">
        <f t="shared" si="18"/>
        <v>2836.6192028056043</v>
      </c>
      <c r="P33" s="48">
        <f t="shared" si="18"/>
        <v>2839.4558220084095</v>
      </c>
      <c r="Q33" s="48">
        <f t="shared" si="18"/>
        <v>2842.2952778304175</v>
      </c>
      <c r="R33" s="48">
        <f t="shared" si="18"/>
        <v>2845.1375731082476</v>
      </c>
      <c r="S33" s="48">
        <f t="shared" si="18"/>
        <v>2847.9827106813555</v>
      </c>
      <c r="T33" s="48">
        <f t="shared" si="18"/>
        <v>2850.8306933920367</v>
      </c>
      <c r="U33" s="48">
        <f t="shared" si="18"/>
        <v>2853.6815240854285</v>
      </c>
      <c r="V33" s="48">
        <f t="shared" si="18"/>
        <v>2856.5352056095135</v>
      </c>
      <c r="W33" s="48">
        <f t="shared" si="18"/>
        <v>2859.3917408151228</v>
      </c>
      <c r="X33" s="48">
        <f t="shared" si="18"/>
        <v>2862.2511325559376</v>
      </c>
      <c r="Y33" s="48">
        <f t="shared" si="18"/>
        <v>2865.1133836884933</v>
      </c>
      <c r="Z33" s="48">
        <f t="shared" si="18"/>
        <v>2867.9784970721817</v>
      </c>
      <c r="AA33" s="48">
        <f t="shared" si="18"/>
        <v>2870.8464755692535</v>
      </c>
      <c r="AB33" s="48">
        <f t="shared" si="18"/>
        <v>2873.7173220448226</v>
      </c>
      <c r="AC33" s="48">
        <f t="shared" si="18"/>
        <v>2876.5910393668669</v>
      </c>
      <c r="AD33" s="48">
        <f t="shared" si="18"/>
        <v>2879.4676304062336</v>
      </c>
      <c r="AE33" s="48">
        <f t="shared" si="18"/>
        <v>2882.3470980366396</v>
      </c>
      <c r="AF33" s="48">
        <f t="shared" si="18"/>
        <v>2885.2294451346761</v>
      </c>
      <c r="AG33" s="48">
        <f t="shared" si="18"/>
        <v>2888.1146745798105</v>
      </c>
      <c r="AH33" s="48">
        <f t="shared" si="18"/>
        <v>2891.0027892543899</v>
      </c>
      <c r="AI33" s="48">
        <f t="shared" si="18"/>
        <v>2893.8937920436438</v>
      </c>
      <c r="AJ33" s="48">
        <f t="shared" si="18"/>
        <v>2896.7876858356872</v>
      </c>
      <c r="AK33" s="48">
        <f t="shared" si="18"/>
        <v>2899.6844735215227</v>
      </c>
      <c r="AL33" s="48">
        <f t="shared" si="18"/>
        <v>2902.5841579950438</v>
      </c>
      <c r="AM33" s="48">
        <f t="shared" si="18"/>
        <v>2905.4867421530384</v>
      </c>
      <c r="AN33" s="48">
        <f t="shared" si="18"/>
        <v>2908.3922288951912</v>
      </c>
      <c r="AO33" s="48">
        <f t="shared" si="18"/>
        <v>2911.3006211240863</v>
      </c>
      <c r="AP33" s="48">
        <f t="shared" si="18"/>
        <v>2914.21192174521</v>
      </c>
      <c r="AQ33" s="48">
        <f t="shared" si="18"/>
        <v>2917.126133666955</v>
      </c>
      <c r="AR33" s="48">
        <f t="shared" si="18"/>
        <v>2920.0432598006214</v>
      </c>
      <c r="AS33" s="48">
        <f t="shared" si="18"/>
        <v>2922.9633030604218</v>
      </c>
      <c r="AT33" s="48">
        <f t="shared" si="18"/>
        <v>2925.8862663634818</v>
      </c>
      <c r="AU33" s="48">
        <f t="shared" si="18"/>
        <v>2928.8121526298451</v>
      </c>
      <c r="AV33" s="48">
        <f t="shared" si="18"/>
        <v>2931.7409647824747</v>
      </c>
      <c r="AW33" s="48">
        <f t="shared" si="18"/>
        <v>2934.6727057472567</v>
      </c>
      <c r="AX33" s="48">
        <f t="shared" si="18"/>
        <v>2937.6073784530035</v>
      </c>
      <c r="AY33" s="48">
        <f t="shared" si="18"/>
        <v>2940.5449858314564</v>
      </c>
      <c r="AZ33" s="48">
        <f t="shared" si="18"/>
        <v>2943.4855308172873</v>
      </c>
      <c r="BA33" s="48">
        <f t="shared" si="18"/>
        <v>2946.4290163481041</v>
      </c>
      <c r="BB33" s="48">
        <f t="shared" si="18"/>
        <v>2949.3754453644519</v>
      </c>
      <c r="BC33" s="48">
        <f t="shared" si="18"/>
        <v>2952.3248208098162</v>
      </c>
      <c r="BD33" s="48">
        <f t="shared" si="18"/>
        <v>2955.2771456306255</v>
      </c>
      <c r="BE33" s="48">
        <f t="shared" si="18"/>
        <v>2958.2324227762556</v>
      </c>
      <c r="BF33" s="48">
        <f t="shared" si="18"/>
        <v>2961.1906551990314</v>
      </c>
      <c r="BG33" s="48">
        <f t="shared" si="18"/>
        <v>2964.15184585423</v>
      </c>
      <c r="BH33" s="48">
        <f t="shared" si="18"/>
        <v>2967.1159977000839</v>
      </c>
      <c r="BI33" s="48">
        <f t="shared" si="18"/>
        <v>2970.0831136977836</v>
      </c>
    </row>
    <row r="34" spans="1:61" x14ac:dyDescent="0.25">
      <c r="A34" s="59" t="s">
        <v>162</v>
      </c>
      <c r="B34" s="18">
        <v>1E-3</v>
      </c>
      <c r="C34" s="18">
        <v>1E-3</v>
      </c>
      <c r="D34" s="18">
        <v>1E-3</v>
      </c>
      <c r="E34" s="18">
        <v>1E-3</v>
      </c>
      <c r="F34" s="18">
        <v>1E-3</v>
      </c>
      <c r="G34" s="18">
        <v>1E-3</v>
      </c>
      <c r="H34" s="18">
        <v>1E-3</v>
      </c>
      <c r="I34" s="18">
        <v>1E-3</v>
      </c>
      <c r="J34" s="18">
        <v>1E-3</v>
      </c>
      <c r="K34" s="18">
        <v>1E-3</v>
      </c>
      <c r="L34" s="18">
        <v>1E-3</v>
      </c>
      <c r="M34" s="18">
        <v>1E-3</v>
      </c>
      <c r="N34" s="18">
        <v>1E-3</v>
      </c>
      <c r="O34" s="18">
        <v>1E-3</v>
      </c>
      <c r="P34" s="18">
        <v>1E-3</v>
      </c>
      <c r="Q34" s="18">
        <v>1E-3</v>
      </c>
      <c r="R34" s="18">
        <v>1E-3</v>
      </c>
      <c r="S34" s="18">
        <v>1E-3</v>
      </c>
      <c r="T34" s="18">
        <v>1E-3</v>
      </c>
      <c r="U34" s="18">
        <v>1E-3</v>
      </c>
      <c r="V34" s="18">
        <v>1E-3</v>
      </c>
      <c r="W34" s="18">
        <v>1E-3</v>
      </c>
      <c r="X34" s="18">
        <v>1E-3</v>
      </c>
      <c r="Y34" s="18">
        <v>1E-3</v>
      </c>
      <c r="Z34" s="18">
        <v>1E-3</v>
      </c>
      <c r="AA34" s="18">
        <v>1E-3</v>
      </c>
      <c r="AB34" s="18">
        <v>1E-3</v>
      </c>
      <c r="AC34" s="18">
        <v>1E-3</v>
      </c>
      <c r="AD34" s="18">
        <v>1E-3</v>
      </c>
      <c r="AE34" s="18">
        <v>1E-3</v>
      </c>
      <c r="AF34" s="18">
        <v>1E-3</v>
      </c>
      <c r="AG34" s="18">
        <v>1E-3</v>
      </c>
      <c r="AH34" s="18">
        <v>1E-3</v>
      </c>
      <c r="AI34" s="18">
        <v>1E-3</v>
      </c>
      <c r="AJ34" s="18">
        <v>1E-3</v>
      </c>
      <c r="AK34" s="18">
        <v>1E-3</v>
      </c>
      <c r="AL34" s="18">
        <v>1E-3</v>
      </c>
      <c r="AM34" s="18">
        <v>1E-3</v>
      </c>
      <c r="AN34" s="18">
        <v>1E-3</v>
      </c>
      <c r="AO34" s="18">
        <v>1E-3</v>
      </c>
      <c r="AP34" s="18">
        <v>1E-3</v>
      </c>
      <c r="AQ34" s="18">
        <v>1E-3</v>
      </c>
      <c r="AR34" s="18">
        <v>1E-3</v>
      </c>
      <c r="AS34" s="18">
        <v>1E-3</v>
      </c>
      <c r="AT34" s="18">
        <v>1E-3</v>
      </c>
      <c r="AU34" s="18">
        <v>1E-3</v>
      </c>
      <c r="AV34" s="18">
        <v>1E-3</v>
      </c>
      <c r="AW34" s="18">
        <v>1E-3</v>
      </c>
      <c r="AX34" s="18">
        <v>1E-3</v>
      </c>
      <c r="AY34" s="18">
        <v>1E-3</v>
      </c>
      <c r="AZ34" s="18">
        <v>1E-3</v>
      </c>
      <c r="BA34" s="18">
        <v>1E-3</v>
      </c>
      <c r="BB34" s="18">
        <v>1E-3</v>
      </c>
      <c r="BC34" s="18">
        <v>1E-3</v>
      </c>
      <c r="BD34" s="18">
        <v>1E-3</v>
      </c>
      <c r="BE34" s="18">
        <v>1E-3</v>
      </c>
      <c r="BF34" s="18">
        <v>1E-3</v>
      </c>
      <c r="BG34" s="18">
        <v>1E-3</v>
      </c>
      <c r="BH34" s="18">
        <v>1E-3</v>
      </c>
      <c r="BI34" s="18">
        <v>1E-3</v>
      </c>
    </row>
    <row r="35" spans="1:61" x14ac:dyDescent="0.25">
      <c r="A35" s="4" t="s">
        <v>238</v>
      </c>
      <c r="B35" s="51">
        <f>(B22*B23)+(B27*B28)+(B32*B33)</f>
        <v>0</v>
      </c>
      <c r="C35" s="51">
        <f t="shared" ref="C35:BI35" si="19">(C22*C23)+(C27*C28)+(C32*C33)</f>
        <v>0</v>
      </c>
      <c r="D35" s="51">
        <f t="shared" si="19"/>
        <v>0</v>
      </c>
      <c r="E35" s="51">
        <f t="shared" si="19"/>
        <v>756420.07840485335</v>
      </c>
      <c r="F35" s="51">
        <f t="shared" si="19"/>
        <v>766044.39537458599</v>
      </c>
      <c r="G35" s="51">
        <f t="shared" si="19"/>
        <v>775849.20411156677</v>
      </c>
      <c r="H35" s="51">
        <f t="shared" si="19"/>
        <v>785840.58798750117</v>
      </c>
      <c r="I35" s="51">
        <f t="shared" si="19"/>
        <v>796024.93492217374</v>
      </c>
      <c r="J35" s="51">
        <f t="shared" si="19"/>
        <v>806408.95501284103</v>
      </c>
      <c r="K35" s="51">
        <f t="shared" si="19"/>
        <v>816999.69923071284</v>
      </c>
      <c r="L35" s="51">
        <f t="shared" si="19"/>
        <v>827804.57925013825</v>
      </c>
      <c r="M35" s="51">
        <f t="shared" si="19"/>
        <v>838831.38848018786</v>
      </c>
      <c r="N35" s="51">
        <f t="shared" si="19"/>
        <v>850088.32437264081</v>
      </c>
      <c r="O35" s="51">
        <f t="shared" si="19"/>
        <v>861584.01208497211</v>
      </c>
      <c r="P35" s="51">
        <f t="shared" si="19"/>
        <v>873327.52958181791</v>
      </c>
      <c r="Q35" s="51">
        <f t="shared" si="19"/>
        <v>885328.43426357163</v>
      </c>
      <c r="R35" s="51">
        <f t="shared" si="19"/>
        <v>897596.79121627589</v>
      </c>
      <c r="S35" s="51">
        <f t="shared" si="19"/>
        <v>910143.20318281383</v>
      </c>
      <c r="T35" s="51">
        <f t="shared" si="19"/>
        <v>922978.84236162668</v>
      </c>
      <c r="U35" s="51">
        <f t="shared" si="19"/>
        <v>936115.48414577346</v>
      </c>
      <c r="V35" s="51">
        <f t="shared" si="19"/>
        <v>949565.54292218061</v>
      </c>
      <c r="W35" s="51">
        <f t="shared" si="19"/>
        <v>963342.11005836294</v>
      </c>
      <c r="X35" s="51">
        <f t="shared" si="19"/>
        <v>977458.99421183008</v>
      </c>
      <c r="Y35" s="51">
        <f t="shared" si="19"/>
        <v>991930.7641058024</v>
      </c>
      <c r="Z35" s="51">
        <f t="shared" si="19"/>
        <v>1006772.7939237964</v>
      </c>
      <c r="AA35" s="51">
        <f t="shared" si="19"/>
        <v>1022001.3114851539</v>
      </c>
      <c r="AB35" s="51">
        <f t="shared" si="19"/>
        <v>1037633.449373667</v>
      </c>
      <c r="AC35" s="51">
        <f t="shared" si="19"/>
        <v>1053687.2992021989</v>
      </c>
      <c r="AD35" s="51">
        <f t="shared" si="19"/>
        <v>1070181.9692075853</v>
      </c>
      <c r="AE35" s="51">
        <f t="shared" si="19"/>
        <v>1087137.6453822213</v>
      </c>
      <c r="AF35" s="51">
        <f t="shared" si="19"/>
        <v>1104575.656361626</v>
      </c>
      <c r="AG35" s="51">
        <f t="shared" si="19"/>
        <v>1122518.5423009391</v>
      </c>
      <c r="AH35" s="51">
        <f t="shared" si="19"/>
        <v>1140990.1279878663</v>
      </c>
      <c r="AI35" s="51">
        <f t="shared" si="19"/>
        <v>1160015.6004550301</v>
      </c>
      <c r="AJ35" s="51">
        <f t="shared" si="19"/>
        <v>1179621.5913711197</v>
      </c>
      <c r="AK35" s="51">
        <f t="shared" si="19"/>
        <v>1199836.2645076837</v>
      </c>
      <c r="AL35" s="51">
        <f t="shared" si="19"/>
        <v>1220689.4085969687</v>
      </c>
      <c r="AM35" s="51">
        <f t="shared" si="19"/>
        <v>1242212.5359159256</v>
      </c>
      <c r="AN35" s="51">
        <f t="shared" si="19"/>
        <v>1264438.9869524711</v>
      </c>
      <c r="AO35" s="51">
        <f t="shared" si="19"/>
        <v>1287404.0415323726</v>
      </c>
      <c r="AP35" s="51">
        <f t="shared" si="19"/>
        <v>1311145.0368087951</v>
      </c>
      <c r="AQ35" s="51">
        <f t="shared" si="19"/>
        <v>1335701.4925417521</v>
      </c>
      <c r="AR35" s="51">
        <f t="shared" si="19"/>
        <v>1361115.2441214316</v>
      </c>
      <c r="AS35" s="51">
        <f t="shared" si="19"/>
        <v>1387430.583817827</v>
      </c>
      <c r="AT35" s="51">
        <f t="shared" si="19"/>
        <v>1414694.4107693569</v>
      </c>
      <c r="AU35" s="51">
        <f t="shared" si="19"/>
        <v>1442956.3902552729</v>
      </c>
      <c r="AV35" s="51">
        <f t="shared" si="19"/>
        <v>1472269.1228308608</v>
      </c>
      <c r="AW35" s="51">
        <f t="shared" si="19"/>
        <v>1502688.3239407423</v>
      </c>
      <c r="AX35" s="51">
        <f t="shared" si="19"/>
        <v>1534273.0146642369</v>
      </c>
      <c r="AY35" s="51">
        <f t="shared" si="19"/>
        <v>1567085.7242877791</v>
      </c>
      <c r="AZ35" s="51">
        <f t="shared" si="19"/>
        <v>1601192.7054430686</v>
      </c>
      <c r="BA35" s="51">
        <f t="shared" si="19"/>
        <v>1636664.1625960243</v>
      </c>
      <c r="BB35" s="51">
        <f t="shared" si="19"/>
        <v>1673574.4947209877</v>
      </c>
      <c r="BC35" s="51">
        <f t="shared" si="19"/>
        <v>1712002.5530470735</v>
      </c>
      <c r="BD35" s="51">
        <f t="shared" si="19"/>
        <v>1752031.9148193756</v>
      </c>
      <c r="BE35" s="51">
        <f t="shared" si="19"/>
        <v>1793751.1740770428</v>
      </c>
      <c r="BF35" s="51">
        <f t="shared" si="19"/>
        <v>1837254.2505133438</v>
      </c>
      <c r="BG35" s="51">
        <f t="shared" si="19"/>
        <v>1882640.7175498905</v>
      </c>
      <c r="BH35" s="51">
        <f t="shared" si="19"/>
        <v>1930016.1508285464</v>
      </c>
      <c r="BI35" s="51">
        <f t="shared" si="19"/>
        <v>1979492.4984003715</v>
      </c>
    </row>
    <row r="36" spans="1:61" x14ac:dyDescent="0.25">
      <c r="A36" s="59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</row>
    <row r="37" spans="1:61" x14ac:dyDescent="0.25">
      <c r="A37" s="59" t="s">
        <v>239</v>
      </c>
      <c r="B37" s="60">
        <f>B20</f>
        <v>0</v>
      </c>
      <c r="C37" s="60">
        <f>B37+C20</f>
        <v>0</v>
      </c>
      <c r="D37" s="60">
        <f t="shared" ref="D37:BI37" si="20">C37+D20</f>
        <v>0</v>
      </c>
      <c r="E37" s="60">
        <f t="shared" si="20"/>
        <v>329.85923187829331</v>
      </c>
      <c r="F37" s="60">
        <f t="shared" si="20"/>
        <v>663.75850654411965</v>
      </c>
      <c r="G37" s="60">
        <f t="shared" si="20"/>
        <v>1001.7708409787135</v>
      </c>
      <c r="H37" s="60">
        <f t="shared" si="20"/>
        <v>1343.9717095864803</v>
      </c>
      <c r="I37" s="60">
        <f t="shared" si="20"/>
        <v>1690.4391683224887</v>
      </c>
      <c r="J37" s="60">
        <f t="shared" si="20"/>
        <v>2041.2539859848043</v>
      </c>
      <c r="K37" s="60">
        <f t="shared" si="20"/>
        <v>2396.4997830996917</v>
      </c>
      <c r="L37" s="60">
        <f t="shared" si="20"/>
        <v>2756.26317885351</v>
      </c>
      <c r="M37" s="60">
        <f t="shared" si="20"/>
        <v>3120.6339465524902</v>
      </c>
      <c r="N37" s="60">
        <f t="shared" si="20"/>
        <v>3489.705178120596</v>
      </c>
      <c r="O37" s="60">
        <f t="shared" si="20"/>
        <v>3863.573458176435</v>
      </c>
      <c r="P37" s="60">
        <f t="shared" si="20"/>
        <v>4242.3390482628138</v>
      </c>
      <c r="Q37" s="60">
        <f t="shared" si="20"/>
        <v>4626.1060818371352</v>
      </c>
      <c r="R37" s="60">
        <f t="shared" si="20"/>
        <v>5014.9827706675142</v>
      </c>
      <c r="S37" s="60">
        <f t="shared" si="20"/>
        <v>5409.0816233184105</v>
      </c>
      <c r="T37" s="60">
        <f t="shared" si="20"/>
        <v>5808.5196764508264</v>
      </c>
      <c r="U37" s="60">
        <f t="shared" si="20"/>
        <v>6213.4187397058704</v>
      </c>
      <c r="V37" s="60">
        <f t="shared" si="20"/>
        <v>6623.9056549869001</v>
      </c>
      <c r="W37" s="60">
        <f t="shared" si="20"/>
        <v>7040.1125710046454</v>
      </c>
      <c r="X37" s="60">
        <f t="shared" si="20"/>
        <v>7462.1772340018952</v>
      </c>
      <c r="Y37" s="60">
        <f t="shared" si="20"/>
        <v>7890.2432956296807</v>
      </c>
      <c r="Z37" s="60">
        <f t="shared" si="20"/>
        <v>8324.4606390055378</v>
      </c>
      <c r="AA37" s="60">
        <f t="shared" si="20"/>
        <v>8764.9857240466863</v>
      </c>
      <c r="AB37" s="60">
        <f t="shared" si="20"/>
        <v>9211.9819532369274</v>
      </c>
      <c r="AC37" s="60">
        <f t="shared" si="20"/>
        <v>9665.6200590560675</v>
      </c>
      <c r="AD37" s="60">
        <f t="shared" si="20"/>
        <v>10126.078514374851</v>
      </c>
      <c r="AE37" s="60">
        <f t="shared" si="20"/>
        <v>10593.543967197118</v>
      </c>
      <c r="AF37" s="60">
        <f t="shared" si="20"/>
        <v>11068.211701214341</v>
      </c>
      <c r="AG37" s="60">
        <f t="shared" si="20"/>
        <v>11550.28612372618</v>
      </c>
      <c r="AH37" s="60">
        <f t="shared" si="20"/>
        <v>12039.981282574598</v>
      </c>
      <c r="AI37" s="60">
        <f t="shared" si="20"/>
        <v>12537.521413838542</v>
      </c>
      <c r="AJ37" s="60">
        <f t="shared" si="20"/>
        <v>13043.141522141821</v>
      </c>
      <c r="AK37" s="60">
        <f t="shared" si="20"/>
        <v>13557.087995538666</v>
      </c>
      <c r="AL37" s="60">
        <f t="shared" si="20"/>
        <v>14079.619257060218</v>
      </c>
      <c r="AM37" s="60">
        <f t="shared" si="20"/>
        <v>14611.006455131026</v>
      </c>
      <c r="AN37" s="60">
        <f t="shared" si="20"/>
        <v>15151.534195198166</v>
      </c>
      <c r="AO37" s="60">
        <f t="shared" si="20"/>
        <v>15701.501315057129</v>
      </c>
      <c r="AP37" s="60">
        <f t="shared" si="20"/>
        <v>16261.221706508748</v>
      </c>
      <c r="AQ37" s="60">
        <f t="shared" si="20"/>
        <v>16831.025186140694</v>
      </c>
      <c r="AR37" s="60">
        <f t="shared" si="20"/>
        <v>17411.258418195815</v>
      </c>
      <c r="AS37" s="60">
        <f t="shared" si="20"/>
        <v>18002.28589266873</v>
      </c>
      <c r="AT37" s="60">
        <f t="shared" si="20"/>
        <v>18604.490961961888</v>
      </c>
      <c r="AU37" s="60">
        <f t="shared" si="20"/>
        <v>19218.276939633746</v>
      </c>
      <c r="AV37" s="60">
        <f t="shared" si="20"/>
        <v>19844.068264985151</v>
      </c>
      <c r="AW37" s="60">
        <f t="shared" si="20"/>
        <v>20482.311737456566</v>
      </c>
      <c r="AX37" s="60">
        <f t="shared" si="20"/>
        <v>21133.477825048863</v>
      </c>
      <c r="AY37" s="60">
        <f t="shared" si="20"/>
        <v>21798.062051235127</v>
      </c>
      <c r="AZ37" s="60">
        <f t="shared" si="20"/>
        <v>22476.58646510094</v>
      </c>
      <c r="BA37" s="60">
        <f t="shared" si="20"/>
        <v>23169.601199737102</v>
      </c>
      <c r="BB37" s="60">
        <f t="shared" si="20"/>
        <v>23877.686124212432</v>
      </c>
      <c r="BC37" s="60">
        <f t="shared" si="20"/>
        <v>24601.452594776398</v>
      </c>
      <c r="BD37" s="60">
        <f t="shared" si="20"/>
        <v>25341.545311282985</v>
      </c>
      <c r="BE37" s="60">
        <f t="shared" si="20"/>
        <v>26098.644285189413</v>
      </c>
      <c r="BF37" s="60">
        <f t="shared" si="20"/>
        <v>26873.466925867477</v>
      </c>
      <c r="BG37" s="60">
        <f t="shared" si="20"/>
        <v>27666.77025237276</v>
      </c>
      <c r="BH37" s="60">
        <f t="shared" si="20"/>
        <v>28479.353238248957</v>
      </c>
      <c r="BI37" s="60">
        <f t="shared" si="20"/>
        <v>29312.059297402771</v>
      </c>
    </row>
    <row r="38" spans="1:61" x14ac:dyDescent="0.25">
      <c r="A38" s="59" t="s">
        <v>190</v>
      </c>
      <c r="B38" s="50">
        <v>0.01</v>
      </c>
      <c r="C38" s="61">
        <f>B38*(1+B39)</f>
        <v>1.01E-2</v>
      </c>
      <c r="D38" s="61">
        <f t="shared" ref="D38:BI38" si="21">C38*(1+C39)</f>
        <v>1.0201E-2</v>
      </c>
      <c r="E38" s="61">
        <f t="shared" si="21"/>
        <v>1.030301E-2</v>
      </c>
      <c r="F38" s="61">
        <f t="shared" si="21"/>
        <v>1.04060401E-2</v>
      </c>
      <c r="G38" s="61">
        <f t="shared" si="21"/>
        <v>1.0510100501E-2</v>
      </c>
      <c r="H38" s="61">
        <f t="shared" si="21"/>
        <v>1.0615201506010001E-2</v>
      </c>
      <c r="I38" s="61">
        <f t="shared" si="21"/>
        <v>1.0721353521070101E-2</v>
      </c>
      <c r="J38" s="61">
        <f t="shared" si="21"/>
        <v>1.0828567056280802E-2</v>
      </c>
      <c r="K38" s="61">
        <f t="shared" si="21"/>
        <v>1.093685272684361E-2</v>
      </c>
      <c r="L38" s="61">
        <f t="shared" si="21"/>
        <v>1.1046221254112046E-2</v>
      </c>
      <c r="M38" s="61">
        <f t="shared" si="21"/>
        <v>1.1156683466653166E-2</v>
      </c>
      <c r="N38" s="61">
        <f t="shared" si="21"/>
        <v>1.1268250301319699E-2</v>
      </c>
      <c r="O38" s="61">
        <f t="shared" si="21"/>
        <v>1.1380932804332895E-2</v>
      </c>
      <c r="P38" s="61">
        <f t="shared" si="21"/>
        <v>1.1494742132376225E-2</v>
      </c>
      <c r="Q38" s="61">
        <f t="shared" si="21"/>
        <v>1.1609689553699988E-2</v>
      </c>
      <c r="R38" s="61">
        <f t="shared" si="21"/>
        <v>1.1725786449236988E-2</v>
      </c>
      <c r="S38" s="61">
        <f t="shared" si="21"/>
        <v>1.1843044313729357E-2</v>
      </c>
      <c r="T38" s="61">
        <f t="shared" si="21"/>
        <v>1.1961474756866651E-2</v>
      </c>
      <c r="U38" s="61">
        <f t="shared" si="21"/>
        <v>1.2081089504435318E-2</v>
      </c>
      <c r="V38" s="61">
        <f t="shared" si="21"/>
        <v>1.2201900399479671E-2</v>
      </c>
      <c r="W38" s="61">
        <f t="shared" si="21"/>
        <v>1.2323919403474468E-2</v>
      </c>
      <c r="X38" s="61">
        <f t="shared" si="21"/>
        <v>1.2447158597509214E-2</v>
      </c>
      <c r="Y38" s="61">
        <f t="shared" si="21"/>
        <v>1.2571630183484306E-2</v>
      </c>
      <c r="Z38" s="61">
        <f t="shared" si="21"/>
        <v>1.2697346485319149E-2</v>
      </c>
      <c r="AA38" s="61">
        <f t="shared" si="21"/>
        <v>1.2824319950172341E-2</v>
      </c>
      <c r="AB38" s="61">
        <f t="shared" si="21"/>
        <v>1.2952563149674065E-2</v>
      </c>
      <c r="AC38" s="61">
        <f t="shared" si="21"/>
        <v>1.3082088781170806E-2</v>
      </c>
      <c r="AD38" s="61">
        <f t="shared" si="21"/>
        <v>1.3212909668982514E-2</v>
      </c>
      <c r="AE38" s="61">
        <f t="shared" si="21"/>
        <v>1.3345038765672338E-2</v>
      </c>
      <c r="AF38" s="61">
        <f t="shared" si="21"/>
        <v>1.3478489153329061E-2</v>
      </c>
      <c r="AG38" s="61">
        <f t="shared" si="21"/>
        <v>1.3613274044862352E-2</v>
      </c>
      <c r="AH38" s="61">
        <f t="shared" si="21"/>
        <v>1.3749406785310975E-2</v>
      </c>
      <c r="AI38" s="61">
        <f t="shared" si="21"/>
        <v>1.3886900853164085E-2</v>
      </c>
      <c r="AJ38" s="61">
        <f t="shared" si="21"/>
        <v>1.4025769861695726E-2</v>
      </c>
      <c r="AK38" s="61">
        <f t="shared" si="21"/>
        <v>1.4166027560312683E-2</v>
      </c>
      <c r="AL38" s="61">
        <f t="shared" si="21"/>
        <v>1.430768783591581E-2</v>
      </c>
      <c r="AM38" s="61">
        <f t="shared" si="21"/>
        <v>1.4450764714274969E-2</v>
      </c>
      <c r="AN38" s="61">
        <f t="shared" si="21"/>
        <v>1.4595272361417718E-2</v>
      </c>
      <c r="AO38" s="61">
        <f t="shared" si="21"/>
        <v>1.4741225085031895E-2</v>
      </c>
      <c r="AP38" s="61">
        <f t="shared" si="21"/>
        <v>1.4888637335882214E-2</v>
      </c>
      <c r="AQ38" s="61">
        <f t="shared" si="21"/>
        <v>1.5037523709241036E-2</v>
      </c>
      <c r="AR38" s="61">
        <f t="shared" si="21"/>
        <v>1.5187898946333447E-2</v>
      </c>
      <c r="AS38" s="61">
        <f t="shared" si="21"/>
        <v>1.5339777935796783E-2</v>
      </c>
      <c r="AT38" s="61">
        <f t="shared" si="21"/>
        <v>1.5493175715154751E-2</v>
      </c>
      <c r="AU38" s="61">
        <f t="shared" si="21"/>
        <v>1.56481074723063E-2</v>
      </c>
      <c r="AV38" s="61">
        <f t="shared" si="21"/>
        <v>1.5804588547029364E-2</v>
      </c>
      <c r="AW38" s="61">
        <f t="shared" si="21"/>
        <v>1.5962634432499657E-2</v>
      </c>
      <c r="AX38" s="61">
        <f t="shared" si="21"/>
        <v>1.6122260776824653E-2</v>
      </c>
      <c r="AY38" s="61">
        <f t="shared" si="21"/>
        <v>1.6283483384592901E-2</v>
      </c>
      <c r="AZ38" s="61">
        <f t="shared" si="21"/>
        <v>1.6446318218438831E-2</v>
      </c>
      <c r="BA38" s="61">
        <f t="shared" si="21"/>
        <v>1.661078140062322E-2</v>
      </c>
      <c r="BB38" s="61">
        <f t="shared" si="21"/>
        <v>1.6776889214629453E-2</v>
      </c>
      <c r="BC38" s="61">
        <f t="shared" si="21"/>
        <v>1.6944658106775746E-2</v>
      </c>
      <c r="BD38" s="61">
        <f t="shared" si="21"/>
        <v>1.7114104687843502E-2</v>
      </c>
      <c r="BE38" s="61">
        <f t="shared" si="21"/>
        <v>1.7285245734721937E-2</v>
      </c>
      <c r="BF38" s="61">
        <f t="shared" si="21"/>
        <v>1.7458098192069157E-2</v>
      </c>
      <c r="BG38" s="61">
        <f t="shared" si="21"/>
        <v>1.7632679173989849E-2</v>
      </c>
      <c r="BH38" s="61">
        <f t="shared" si="21"/>
        <v>1.7809005965729749E-2</v>
      </c>
      <c r="BI38" s="61">
        <f t="shared" si="21"/>
        <v>1.7987096025387048E-2</v>
      </c>
    </row>
    <row r="39" spans="1:61" x14ac:dyDescent="0.25">
      <c r="A39" s="59" t="s">
        <v>162</v>
      </c>
      <c r="B39" s="18">
        <v>0.01</v>
      </c>
      <c r="C39" s="18">
        <v>0.01</v>
      </c>
      <c r="D39" s="18">
        <v>0.01</v>
      </c>
      <c r="E39" s="18">
        <v>0.01</v>
      </c>
      <c r="F39" s="18">
        <v>0.01</v>
      </c>
      <c r="G39" s="18">
        <v>0.01</v>
      </c>
      <c r="H39" s="18">
        <v>0.01</v>
      </c>
      <c r="I39" s="18">
        <v>0.01</v>
      </c>
      <c r="J39" s="18">
        <v>0.01</v>
      </c>
      <c r="K39" s="18">
        <v>0.01</v>
      </c>
      <c r="L39" s="18">
        <v>0.01</v>
      </c>
      <c r="M39" s="18">
        <v>0.01</v>
      </c>
      <c r="N39" s="18">
        <v>0.01</v>
      </c>
      <c r="O39" s="18">
        <v>0.01</v>
      </c>
      <c r="P39" s="18">
        <v>0.01</v>
      </c>
      <c r="Q39" s="18">
        <v>0.01</v>
      </c>
      <c r="R39" s="18">
        <v>0.01</v>
      </c>
      <c r="S39" s="18">
        <v>0.01</v>
      </c>
      <c r="T39" s="18">
        <v>0.01</v>
      </c>
      <c r="U39" s="18">
        <v>0.01</v>
      </c>
      <c r="V39" s="18">
        <v>0.01</v>
      </c>
      <c r="W39" s="18">
        <v>0.01</v>
      </c>
      <c r="X39" s="18">
        <v>0.01</v>
      </c>
      <c r="Y39" s="18">
        <v>0.01</v>
      </c>
      <c r="Z39" s="18">
        <v>0.01</v>
      </c>
      <c r="AA39" s="18">
        <v>0.01</v>
      </c>
      <c r="AB39" s="18">
        <v>0.01</v>
      </c>
      <c r="AC39" s="18">
        <v>0.01</v>
      </c>
      <c r="AD39" s="18">
        <v>0.01</v>
      </c>
      <c r="AE39" s="18">
        <v>0.01</v>
      </c>
      <c r="AF39" s="18">
        <v>0.01</v>
      </c>
      <c r="AG39" s="18">
        <v>0.01</v>
      </c>
      <c r="AH39" s="18">
        <v>0.01</v>
      </c>
      <c r="AI39" s="18">
        <v>0.01</v>
      </c>
      <c r="AJ39" s="18">
        <v>0.01</v>
      </c>
      <c r="AK39" s="18">
        <v>0.01</v>
      </c>
      <c r="AL39" s="18">
        <v>0.01</v>
      </c>
      <c r="AM39" s="18">
        <v>0.01</v>
      </c>
      <c r="AN39" s="18">
        <v>0.01</v>
      </c>
      <c r="AO39" s="18">
        <v>0.01</v>
      </c>
      <c r="AP39" s="18">
        <v>0.01</v>
      </c>
      <c r="AQ39" s="18">
        <v>0.01</v>
      </c>
      <c r="AR39" s="18">
        <v>0.01</v>
      </c>
      <c r="AS39" s="18">
        <v>0.01</v>
      </c>
      <c r="AT39" s="18">
        <v>0.01</v>
      </c>
      <c r="AU39" s="18">
        <v>0.01</v>
      </c>
      <c r="AV39" s="18">
        <v>0.01</v>
      </c>
      <c r="AW39" s="18">
        <v>0.01</v>
      </c>
      <c r="AX39" s="18">
        <v>0.01</v>
      </c>
      <c r="AY39" s="18">
        <v>0.01</v>
      </c>
      <c r="AZ39" s="18">
        <v>0.01</v>
      </c>
      <c r="BA39" s="18">
        <v>0.01</v>
      </c>
      <c r="BB39" s="18">
        <v>0.01</v>
      </c>
      <c r="BC39" s="18">
        <v>0.01</v>
      </c>
      <c r="BD39" s="18">
        <v>0.01</v>
      </c>
      <c r="BE39" s="18">
        <v>0.01</v>
      </c>
      <c r="BF39" s="18">
        <v>0.01</v>
      </c>
      <c r="BG39" s="18">
        <v>0.01</v>
      </c>
      <c r="BH39" s="18">
        <v>0.01</v>
      </c>
      <c r="BI39" s="18">
        <v>0.01</v>
      </c>
    </row>
    <row r="40" spans="1:61" x14ac:dyDescent="0.25">
      <c r="A40" s="59" t="s">
        <v>191</v>
      </c>
      <c r="B40" s="65">
        <f>B37*B39</f>
        <v>0</v>
      </c>
      <c r="C40" s="65">
        <f t="shared" ref="C40:BI40" si="22">C37*C39</f>
        <v>0</v>
      </c>
      <c r="D40" s="65">
        <f t="shared" si="22"/>
        <v>0</v>
      </c>
      <c r="E40" s="65">
        <f t="shared" si="22"/>
        <v>3.2985923187829331</v>
      </c>
      <c r="F40" s="65">
        <f t="shared" si="22"/>
        <v>6.637585065441197</v>
      </c>
      <c r="G40" s="65">
        <f t="shared" si="22"/>
        <v>10.017708409787135</v>
      </c>
      <c r="H40" s="65">
        <f t="shared" si="22"/>
        <v>13.439717095864804</v>
      </c>
      <c r="I40" s="65">
        <f t="shared" si="22"/>
        <v>16.904391683224887</v>
      </c>
      <c r="J40" s="65">
        <f t="shared" si="22"/>
        <v>20.412539859848042</v>
      </c>
      <c r="K40" s="65">
        <f t="shared" si="22"/>
        <v>23.964997830996918</v>
      </c>
      <c r="L40" s="65">
        <f t="shared" si="22"/>
        <v>27.5626317885351</v>
      </c>
      <c r="M40" s="65">
        <f t="shared" si="22"/>
        <v>31.206339465524902</v>
      </c>
      <c r="N40" s="65">
        <f t="shared" si="22"/>
        <v>34.89705178120596</v>
      </c>
      <c r="O40" s="65">
        <f t="shared" si="22"/>
        <v>38.635734581764353</v>
      </c>
      <c r="P40" s="65">
        <f t="shared" si="22"/>
        <v>42.423390482628136</v>
      </c>
      <c r="Q40" s="65">
        <f t="shared" si="22"/>
        <v>46.261060818371355</v>
      </c>
      <c r="R40" s="65">
        <f t="shared" si="22"/>
        <v>50.14982770667514</v>
      </c>
      <c r="S40" s="65">
        <f t="shared" si="22"/>
        <v>54.090816233184107</v>
      </c>
      <c r="T40" s="65">
        <f t="shared" si="22"/>
        <v>58.085196764508268</v>
      </c>
      <c r="U40" s="65">
        <f t="shared" si="22"/>
        <v>62.134187397058703</v>
      </c>
      <c r="V40" s="65">
        <f t="shared" si="22"/>
        <v>66.239056549869005</v>
      </c>
      <c r="W40" s="65">
        <f t="shared" si="22"/>
        <v>70.401125710046458</v>
      </c>
      <c r="X40" s="65">
        <f t="shared" si="22"/>
        <v>74.62177234001895</v>
      </c>
      <c r="Y40" s="65">
        <f t="shared" si="22"/>
        <v>78.902432956296806</v>
      </c>
      <c r="Z40" s="65">
        <f t="shared" si="22"/>
        <v>83.244606390055381</v>
      </c>
      <c r="AA40" s="65">
        <f t="shared" si="22"/>
        <v>87.649857240466858</v>
      </c>
      <c r="AB40" s="65">
        <f t="shared" si="22"/>
        <v>92.119819532369277</v>
      </c>
      <c r="AC40" s="65">
        <f t="shared" si="22"/>
        <v>96.656200590560672</v>
      </c>
      <c r="AD40" s="65">
        <f t="shared" si="22"/>
        <v>101.26078514374851</v>
      </c>
      <c r="AE40" s="65">
        <f t="shared" si="22"/>
        <v>105.93543967197118</v>
      </c>
      <c r="AF40" s="65">
        <f t="shared" si="22"/>
        <v>110.68211701214341</v>
      </c>
      <c r="AG40" s="65">
        <f t="shared" si="22"/>
        <v>115.50286123726181</v>
      </c>
      <c r="AH40" s="65">
        <f t="shared" si="22"/>
        <v>120.39981282574598</v>
      </c>
      <c r="AI40" s="65">
        <f t="shared" si="22"/>
        <v>125.37521413838542</v>
      </c>
      <c r="AJ40" s="65">
        <f t="shared" si="22"/>
        <v>130.43141522141821</v>
      </c>
      <c r="AK40" s="65">
        <f t="shared" si="22"/>
        <v>135.57087995538666</v>
      </c>
      <c r="AL40" s="65">
        <f t="shared" si="22"/>
        <v>140.79619257060219</v>
      </c>
      <c r="AM40" s="65">
        <f t="shared" si="22"/>
        <v>146.11006455131027</v>
      </c>
      <c r="AN40" s="65">
        <f t="shared" si="22"/>
        <v>151.51534195198167</v>
      </c>
      <c r="AO40" s="65">
        <f t="shared" si="22"/>
        <v>157.01501315057129</v>
      </c>
      <c r="AP40" s="65">
        <f t="shared" si="22"/>
        <v>162.61221706508749</v>
      </c>
      <c r="AQ40" s="65">
        <f t="shared" si="22"/>
        <v>168.31025186140695</v>
      </c>
      <c r="AR40" s="65">
        <f t="shared" si="22"/>
        <v>174.11258418195817</v>
      </c>
      <c r="AS40" s="65">
        <f t="shared" si="22"/>
        <v>180.02285892668729</v>
      </c>
      <c r="AT40" s="65">
        <f t="shared" si="22"/>
        <v>186.04490961961889</v>
      </c>
      <c r="AU40" s="65">
        <f t="shared" si="22"/>
        <v>192.18276939633748</v>
      </c>
      <c r="AV40" s="65">
        <f t="shared" si="22"/>
        <v>198.44068264985151</v>
      </c>
      <c r="AW40" s="65">
        <f t="shared" si="22"/>
        <v>204.82311737456567</v>
      </c>
      <c r="AX40" s="65">
        <f t="shared" si="22"/>
        <v>211.33477825048863</v>
      </c>
      <c r="AY40" s="65">
        <f t="shared" si="22"/>
        <v>217.98062051235127</v>
      </c>
      <c r="AZ40" s="65">
        <f t="shared" si="22"/>
        <v>224.76586465100939</v>
      </c>
      <c r="BA40" s="65">
        <f t="shared" si="22"/>
        <v>231.69601199737102</v>
      </c>
      <c r="BB40" s="65">
        <f t="shared" si="22"/>
        <v>238.77686124212434</v>
      </c>
      <c r="BC40" s="65">
        <f t="shared" si="22"/>
        <v>246.01452594776399</v>
      </c>
      <c r="BD40" s="65">
        <f t="shared" si="22"/>
        <v>253.41545311282985</v>
      </c>
      <c r="BE40" s="65">
        <f t="shared" si="22"/>
        <v>260.98644285189414</v>
      </c>
      <c r="BF40" s="65">
        <f t="shared" si="22"/>
        <v>268.73466925867478</v>
      </c>
      <c r="BG40" s="65">
        <f t="shared" si="22"/>
        <v>276.6677025237276</v>
      </c>
      <c r="BH40" s="65">
        <f t="shared" si="22"/>
        <v>284.79353238248956</v>
      </c>
      <c r="BI40" s="65">
        <f t="shared" si="22"/>
        <v>293.12059297402772</v>
      </c>
    </row>
    <row r="41" spans="1:61" x14ac:dyDescent="0.25">
      <c r="A41" s="59" t="s">
        <v>192</v>
      </c>
      <c r="B41" s="62">
        <v>75</v>
      </c>
      <c r="C41" s="51">
        <f>B41*(1+B42)</f>
        <v>75.074999999999989</v>
      </c>
      <c r="D41" s="51">
        <f t="shared" ref="D41:BI41" si="23">C41*(1+C42)</f>
        <v>75.150074999999987</v>
      </c>
      <c r="E41" s="51">
        <f t="shared" si="23"/>
        <v>75.225225074999983</v>
      </c>
      <c r="F41" s="51">
        <f t="shared" si="23"/>
        <v>75.300450300074971</v>
      </c>
      <c r="G41" s="51">
        <f t="shared" si="23"/>
        <v>75.375750750375033</v>
      </c>
      <c r="H41" s="51">
        <f t="shared" si="23"/>
        <v>75.451126501125401</v>
      </c>
      <c r="I41" s="51">
        <f t="shared" si="23"/>
        <v>75.526577627626523</v>
      </c>
      <c r="J41" s="51">
        <f t="shared" si="23"/>
        <v>75.602104205254136</v>
      </c>
      <c r="K41" s="51">
        <f t="shared" si="23"/>
        <v>75.677706309459381</v>
      </c>
      <c r="L41" s="51">
        <f t="shared" si="23"/>
        <v>75.75338401576883</v>
      </c>
      <c r="M41" s="51">
        <f t="shared" si="23"/>
        <v>75.829137399784585</v>
      </c>
      <c r="N41" s="51">
        <f t="shared" si="23"/>
        <v>75.904966537184364</v>
      </c>
      <c r="O41" s="51">
        <f t="shared" si="23"/>
        <v>75.980871503721545</v>
      </c>
      <c r="P41" s="51">
        <f t="shared" si="23"/>
        <v>76.056852375225262</v>
      </c>
      <c r="Q41" s="51">
        <f t="shared" si="23"/>
        <v>76.132909227600479</v>
      </c>
      <c r="R41" s="51">
        <f t="shared" si="23"/>
        <v>76.209042136828074</v>
      </c>
      <c r="S41" s="51">
        <f t="shared" si="23"/>
        <v>76.285251178964899</v>
      </c>
      <c r="T41" s="51">
        <f t="shared" si="23"/>
        <v>76.361536430143858</v>
      </c>
      <c r="U41" s="51">
        <f t="shared" si="23"/>
        <v>76.437897966573999</v>
      </c>
      <c r="V41" s="51">
        <f t="shared" si="23"/>
        <v>76.51433586454057</v>
      </c>
      <c r="W41" s="51">
        <f t="shared" si="23"/>
        <v>76.5908502004051</v>
      </c>
      <c r="X41" s="51">
        <f t="shared" si="23"/>
        <v>76.66744105060549</v>
      </c>
      <c r="Y41" s="51">
        <f t="shared" si="23"/>
        <v>76.744108491656092</v>
      </c>
      <c r="Z41" s="51">
        <f t="shared" si="23"/>
        <v>76.820852600147745</v>
      </c>
      <c r="AA41" s="51">
        <f t="shared" si="23"/>
        <v>76.897673452747881</v>
      </c>
      <c r="AB41" s="51">
        <f t="shared" si="23"/>
        <v>76.974571126200615</v>
      </c>
      <c r="AC41" s="51">
        <f t="shared" si="23"/>
        <v>77.051545697326802</v>
      </c>
      <c r="AD41" s="51">
        <f t="shared" si="23"/>
        <v>77.128597243024117</v>
      </c>
      <c r="AE41" s="51">
        <f t="shared" si="23"/>
        <v>77.205725840267135</v>
      </c>
      <c r="AF41" s="51">
        <f t="shared" si="23"/>
        <v>77.282931566107393</v>
      </c>
      <c r="AG41" s="51">
        <f t="shared" si="23"/>
        <v>77.360214497673496</v>
      </c>
      <c r="AH41" s="51">
        <f t="shared" si="23"/>
        <v>77.437574712171156</v>
      </c>
      <c r="AI41" s="51">
        <f t="shared" si="23"/>
        <v>77.515012286883319</v>
      </c>
      <c r="AJ41" s="51">
        <f t="shared" si="23"/>
        <v>77.5925272991702</v>
      </c>
      <c r="AK41" s="51">
        <f t="shared" si="23"/>
        <v>77.67011982646936</v>
      </c>
      <c r="AL41" s="51">
        <f t="shared" si="23"/>
        <v>77.747789946295825</v>
      </c>
      <c r="AM41" s="51">
        <f t="shared" si="23"/>
        <v>77.825537736242111</v>
      </c>
      <c r="AN41" s="51">
        <f t="shared" si="23"/>
        <v>77.903363273978343</v>
      </c>
      <c r="AO41" s="51">
        <f t="shared" si="23"/>
        <v>77.981266637252318</v>
      </c>
      <c r="AP41" s="51">
        <f t="shared" si="23"/>
        <v>78.059247903889556</v>
      </c>
      <c r="AQ41" s="51">
        <f t="shared" si="23"/>
        <v>78.137307151793436</v>
      </c>
      <c r="AR41" s="51">
        <f t="shared" si="23"/>
        <v>78.215444458945228</v>
      </c>
      <c r="AS41" s="51">
        <f t="shared" si="23"/>
        <v>78.293659903404162</v>
      </c>
      <c r="AT41" s="51">
        <f t="shared" si="23"/>
        <v>78.371953563307557</v>
      </c>
      <c r="AU41" s="51">
        <f t="shared" si="23"/>
        <v>78.450325516870862</v>
      </c>
      <c r="AV41" s="51">
        <f t="shared" si="23"/>
        <v>78.528775842387731</v>
      </c>
      <c r="AW41" s="51">
        <f t="shared" si="23"/>
        <v>78.607304618230103</v>
      </c>
      <c r="AX41" s="51">
        <f t="shared" si="23"/>
        <v>78.685911922848319</v>
      </c>
      <c r="AY41" s="51">
        <f t="shared" si="23"/>
        <v>78.764597834771166</v>
      </c>
      <c r="AZ41" s="51">
        <f t="shared" si="23"/>
        <v>78.843362432605929</v>
      </c>
      <c r="BA41" s="51">
        <f t="shared" si="23"/>
        <v>78.922205795038522</v>
      </c>
      <c r="BB41" s="51">
        <f t="shared" si="23"/>
        <v>79.001128000833546</v>
      </c>
      <c r="BC41" s="51">
        <f t="shared" si="23"/>
        <v>79.080129128834372</v>
      </c>
      <c r="BD41" s="51">
        <f t="shared" si="23"/>
        <v>79.159209257963198</v>
      </c>
      <c r="BE41" s="51">
        <f t="shared" si="23"/>
        <v>79.23836846722115</v>
      </c>
      <c r="BF41" s="51">
        <f t="shared" si="23"/>
        <v>79.317606835688366</v>
      </c>
      <c r="BG41" s="51">
        <f t="shared" si="23"/>
        <v>79.396924442524039</v>
      </c>
      <c r="BH41" s="51">
        <f t="shared" si="23"/>
        <v>79.476321366966559</v>
      </c>
      <c r="BI41" s="51">
        <f t="shared" si="23"/>
        <v>79.555797688333513</v>
      </c>
    </row>
    <row r="42" spans="1:61" x14ac:dyDescent="0.25">
      <c r="A42" s="59" t="s">
        <v>162</v>
      </c>
      <c r="B42" s="18">
        <v>1E-3</v>
      </c>
      <c r="C42" s="18">
        <v>1E-3</v>
      </c>
      <c r="D42" s="18">
        <v>1E-3</v>
      </c>
      <c r="E42" s="18">
        <v>1E-3</v>
      </c>
      <c r="F42" s="18">
        <v>1E-3</v>
      </c>
      <c r="G42" s="18">
        <v>1E-3</v>
      </c>
      <c r="H42" s="18">
        <v>1E-3</v>
      </c>
      <c r="I42" s="18">
        <v>1E-3</v>
      </c>
      <c r="J42" s="18">
        <v>1E-3</v>
      </c>
      <c r="K42" s="18">
        <v>1E-3</v>
      </c>
      <c r="L42" s="18">
        <v>1E-3</v>
      </c>
      <c r="M42" s="18">
        <v>1E-3</v>
      </c>
      <c r="N42" s="18">
        <v>1E-3</v>
      </c>
      <c r="O42" s="18">
        <v>1E-3</v>
      </c>
      <c r="P42" s="18">
        <v>1E-3</v>
      </c>
      <c r="Q42" s="18">
        <v>1E-3</v>
      </c>
      <c r="R42" s="18">
        <v>1E-3</v>
      </c>
      <c r="S42" s="18">
        <v>1E-3</v>
      </c>
      <c r="T42" s="18">
        <v>1E-3</v>
      </c>
      <c r="U42" s="18">
        <v>1E-3</v>
      </c>
      <c r="V42" s="18">
        <v>1E-3</v>
      </c>
      <c r="W42" s="18">
        <v>1E-3</v>
      </c>
      <c r="X42" s="18">
        <v>1E-3</v>
      </c>
      <c r="Y42" s="18">
        <v>1E-3</v>
      </c>
      <c r="Z42" s="18">
        <v>1E-3</v>
      </c>
      <c r="AA42" s="18">
        <v>1E-3</v>
      </c>
      <c r="AB42" s="18">
        <v>1E-3</v>
      </c>
      <c r="AC42" s="18">
        <v>1E-3</v>
      </c>
      <c r="AD42" s="18">
        <v>1E-3</v>
      </c>
      <c r="AE42" s="18">
        <v>1E-3</v>
      </c>
      <c r="AF42" s="18">
        <v>1E-3</v>
      </c>
      <c r="AG42" s="18">
        <v>1E-3</v>
      </c>
      <c r="AH42" s="18">
        <v>1E-3</v>
      </c>
      <c r="AI42" s="18">
        <v>1E-3</v>
      </c>
      <c r="AJ42" s="18">
        <v>1E-3</v>
      </c>
      <c r="AK42" s="18">
        <v>1E-3</v>
      </c>
      <c r="AL42" s="18">
        <v>1E-3</v>
      </c>
      <c r="AM42" s="18">
        <v>1E-3</v>
      </c>
      <c r="AN42" s="18">
        <v>1E-3</v>
      </c>
      <c r="AO42" s="18">
        <v>1E-3</v>
      </c>
      <c r="AP42" s="18">
        <v>1E-3</v>
      </c>
      <c r="AQ42" s="18">
        <v>1E-3</v>
      </c>
      <c r="AR42" s="18">
        <v>1E-3</v>
      </c>
      <c r="AS42" s="18">
        <v>1E-3</v>
      </c>
      <c r="AT42" s="18">
        <v>1E-3</v>
      </c>
      <c r="AU42" s="18">
        <v>1E-3</v>
      </c>
      <c r="AV42" s="18">
        <v>1E-3</v>
      </c>
      <c r="AW42" s="18">
        <v>1E-3</v>
      </c>
      <c r="AX42" s="18">
        <v>1E-3</v>
      </c>
      <c r="AY42" s="18">
        <v>1E-3</v>
      </c>
      <c r="AZ42" s="18">
        <v>1E-3</v>
      </c>
      <c r="BA42" s="18">
        <v>1E-3</v>
      </c>
      <c r="BB42" s="18">
        <v>1E-3</v>
      </c>
      <c r="BC42" s="18">
        <v>1E-3</v>
      </c>
      <c r="BD42" s="18">
        <v>1E-3</v>
      </c>
      <c r="BE42" s="18">
        <v>1E-3</v>
      </c>
      <c r="BF42" s="18">
        <v>1E-3</v>
      </c>
      <c r="BG42" s="18">
        <v>1E-3</v>
      </c>
      <c r="BH42" s="18">
        <v>1E-3</v>
      </c>
      <c r="BI42" s="18">
        <v>1E-3</v>
      </c>
    </row>
    <row r="43" spans="1:61" x14ac:dyDescent="0.25">
      <c r="A43" s="4" t="s">
        <v>193</v>
      </c>
      <c r="B43" s="51">
        <f>B40*B41</f>
        <v>0</v>
      </c>
      <c r="C43" s="51">
        <f t="shared" ref="C43:BI43" si="24">C40*C41</f>
        <v>0</v>
      </c>
      <c r="D43" s="51">
        <f t="shared" si="24"/>
        <v>0</v>
      </c>
      <c r="E43" s="51">
        <f t="shared" si="24"/>
        <v>248.13734961111223</v>
      </c>
      <c r="F43" s="51">
        <f t="shared" si="24"/>
        <v>499.8131443327747</v>
      </c>
      <c r="G43" s="51">
        <f t="shared" si="24"/>
        <v>755.09229218605094</v>
      </c>
      <c r="H43" s="51">
        <f t="shared" si="24"/>
        <v>1014.041794739433</v>
      </c>
      <c r="I43" s="51">
        <f t="shared" si="24"/>
        <v>1276.7308507108885</v>
      </c>
      <c r="J43" s="51">
        <f t="shared" si="24"/>
        <v>1543.2309655781353</v>
      </c>
      <c r="K43" s="51">
        <f t="shared" si="24"/>
        <v>1813.6160675610158</v>
      </c>
      <c r="L43" s="51">
        <f t="shared" si="24"/>
        <v>2087.9626303621367</v>
      </c>
      <c r="M43" s="51">
        <f t="shared" si="24"/>
        <v>2366.3498030756082</v>
      </c>
      <c r="N43" s="51">
        <f t="shared" si="24"/>
        <v>2648.8595476988285</v>
      </c>
      <c r="O43" s="51">
        <f t="shared" si="24"/>
        <v>2935.5767847089282</v>
      </c>
      <c r="P43" s="51">
        <f t="shared" si="24"/>
        <v>3226.5895471937847</v>
      </c>
      <c r="Q43" s="51">
        <f t="shared" si="24"/>
        <v>3521.9891440575716</v>
      </c>
      <c r="R43" s="51">
        <f t="shared" si="24"/>
        <v>3821.870332852674</v>
      </c>
      <c r="S43" s="51">
        <f t="shared" si="24"/>
        <v>4126.3315028236811</v>
      </c>
      <c r="T43" s="51">
        <f t="shared" si="24"/>
        <v>4435.4748687850724</v>
      </c>
      <c r="U43" s="51">
        <f t="shared" si="24"/>
        <v>4749.4066764923609</v>
      </c>
      <c r="V43" s="51">
        <f t="shared" si="24"/>
        <v>5068.2374202069732</v>
      </c>
      <c r="W43" s="51">
        <f t="shared" si="24"/>
        <v>5392.0820731980566</v>
      </c>
      <c r="X43" s="51">
        <f t="shared" si="24"/>
        <v>5721.0603319701058</v>
      </c>
      <c r="Y43" s="51">
        <f t="shared" si="24"/>
        <v>6055.2968750536629</v>
      </c>
      <c r="Z43" s="51">
        <f t="shared" si="24"/>
        <v>6394.9216372477613</v>
      </c>
      <c r="AA43" s="51">
        <f t="shared" si="24"/>
        <v>6740.0701002573896</v>
      </c>
      <c r="AB43" s="51">
        <f t="shared" si="24"/>
        <v>7090.8836007271238</v>
      </c>
      <c r="AC43" s="51">
        <f t="shared" si="24"/>
        <v>7447.5096567335713</v>
      </c>
      <c r="AD43" s="51">
        <f t="shared" si="24"/>
        <v>7810.1023138645787</v>
      </c>
      <c r="AE43" s="51">
        <f t="shared" si="24"/>
        <v>8178.8225120823654</v>
      </c>
      <c r="AF43" s="51">
        <f t="shared" si="24"/>
        <v>8553.8384746413703</v>
      </c>
      <c r="AG43" s="51">
        <f t="shared" si="24"/>
        <v>8935.3261204095907</v>
      </c>
      <c r="AH43" s="51">
        <f t="shared" si="24"/>
        <v>9323.4695010251271</v>
      </c>
      <c r="AI43" s="51">
        <f t="shared" si="24"/>
        <v>9718.4612644075733</v>
      </c>
      <c r="AJ43" s="51">
        <f t="shared" si="24"/>
        <v>10120.503146237295</v>
      </c>
      <c r="AK43" s="51">
        <f t="shared" si="24"/>
        <v>10529.806491114774</v>
      </c>
      <c r="AL43" s="51">
        <f t="shared" si="24"/>
        <v>10946.592805217395</v>
      </c>
      <c r="AM43" s="51">
        <f t="shared" si="24"/>
        <v>11371.094342382768</v>
      </c>
      <c r="AN43" s="51">
        <f t="shared" si="24"/>
        <v>11803.554725666279</v>
      </c>
      <c r="AO43" s="51">
        <f t="shared" si="24"/>
        <v>12244.22960654638</v>
      </c>
      <c r="AP43" s="51">
        <f t="shared" si="24"/>
        <v>12693.387364084765</v>
      </c>
      <c r="AQ43" s="51">
        <f t="shared" si="24"/>
        <v>13151.309846490469</v>
      </c>
      <c r="AR43" s="51">
        <f t="shared" si="24"/>
        <v>13618.293157687374</v>
      </c>
      <c r="AS43" s="51">
        <f t="shared" si="24"/>
        <v>14094.648491644561</v>
      </c>
      <c r="AT43" s="51">
        <f t="shared" si="24"/>
        <v>14580.703017398524</v>
      </c>
      <c r="AU43" s="51">
        <f t="shared" si="24"/>
        <v>15076.800817876403</v>
      </c>
      <c r="AV43" s="51">
        <f t="shared" si="24"/>
        <v>15583.303885820589</v>
      </c>
      <c r="AW43" s="51">
        <f t="shared" si="24"/>
        <v>16100.593180317983</v>
      </c>
      <c r="AX43" s="51">
        <f t="shared" si="24"/>
        <v>16629.069747652629</v>
      </c>
      <c r="AY43" s="51">
        <f t="shared" si="24"/>
        <v>17169.155910429217</v>
      </c>
      <c r="AZ43" s="51">
        <f t="shared" si="24"/>
        <v>17721.296529157582</v>
      </c>
      <c r="BA43" s="51">
        <f t="shared" si="24"/>
        <v>18285.960340746231</v>
      </c>
      <c r="BB43" s="51">
        <f t="shared" si="24"/>
        <v>18863.641378626337</v>
      </c>
      <c r="BC43" s="51">
        <f t="shared" si="24"/>
        <v>19454.860479518149</v>
      </c>
      <c r="BD43" s="51">
        <f t="shared" si="24"/>
        <v>20060.166882160058</v>
      </c>
      <c r="BE43" s="51">
        <f t="shared" si="24"/>
        <v>20680.139923647745</v>
      </c>
      <c r="BF43" s="51">
        <f t="shared" si="24"/>
        <v>21315.390839378317</v>
      </c>
      <c r="BG43" s="51">
        <f t="shared" si="24"/>
        <v>21966.564672963119</v>
      </c>
      <c r="BH43" s="51">
        <f t="shared" si="24"/>
        <v>22634.342302864337</v>
      </c>
      <c r="BI43" s="51">
        <f t="shared" si="24"/>
        <v>23319.442592926101</v>
      </c>
    </row>
    <row r="44" spans="1:61" x14ac:dyDescent="0.25">
      <c r="A44" s="4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</row>
    <row r="45" spans="1:61" x14ac:dyDescent="0.25">
      <c r="A45" s="59" t="s">
        <v>198</v>
      </c>
      <c r="B45" s="44">
        <v>0.25</v>
      </c>
      <c r="C45" s="27">
        <f>B45*(1+B46)</f>
        <v>0.25024999999999997</v>
      </c>
      <c r="D45" s="27">
        <f t="shared" ref="D45:BI45" si="25">C45*(1+C46)</f>
        <v>0.25050024999999992</v>
      </c>
      <c r="E45" s="27">
        <f t="shared" si="25"/>
        <v>0.25075075024999988</v>
      </c>
      <c r="F45" s="27">
        <f t="shared" si="25"/>
        <v>0.25100150100024987</v>
      </c>
      <c r="G45" s="27">
        <f t="shared" si="25"/>
        <v>0.25125250250125009</v>
      </c>
      <c r="H45" s="27">
        <f t="shared" si="25"/>
        <v>0.25150375500375133</v>
      </c>
      <c r="I45" s="27">
        <f t="shared" si="25"/>
        <v>0.25175525875875504</v>
      </c>
      <c r="J45" s="27">
        <f t="shared" si="25"/>
        <v>0.25200701401751374</v>
      </c>
      <c r="K45" s="27">
        <f t="shared" si="25"/>
        <v>0.25225902103153125</v>
      </c>
      <c r="L45" s="27">
        <f t="shared" si="25"/>
        <v>0.25251128005256274</v>
      </c>
      <c r="M45" s="27">
        <f t="shared" si="25"/>
        <v>0.25276379133261528</v>
      </c>
      <c r="N45" s="27">
        <f t="shared" si="25"/>
        <v>0.25301655512394788</v>
      </c>
      <c r="O45" s="27">
        <f t="shared" si="25"/>
        <v>0.25326957167907183</v>
      </c>
      <c r="P45" s="27">
        <f t="shared" si="25"/>
        <v>0.25352284125075086</v>
      </c>
      <c r="Q45" s="27">
        <f t="shared" si="25"/>
        <v>0.25377636409200161</v>
      </c>
      <c r="R45" s="27">
        <f t="shared" si="25"/>
        <v>0.25403014045609357</v>
      </c>
      <c r="S45" s="27">
        <f t="shared" si="25"/>
        <v>0.25428417059654962</v>
      </c>
      <c r="T45" s="27">
        <f t="shared" si="25"/>
        <v>0.25453845476714615</v>
      </c>
      <c r="U45" s="27">
        <f t="shared" si="25"/>
        <v>0.25479299322191329</v>
      </c>
      <c r="V45" s="27">
        <f t="shared" si="25"/>
        <v>0.25504778621513519</v>
      </c>
      <c r="W45" s="27">
        <f t="shared" si="25"/>
        <v>0.25530283400135029</v>
      </c>
      <c r="X45" s="27">
        <f t="shared" si="25"/>
        <v>0.25555813683535161</v>
      </c>
      <c r="Y45" s="27">
        <f t="shared" si="25"/>
        <v>0.25581369497218692</v>
      </c>
      <c r="Z45" s="27">
        <f t="shared" si="25"/>
        <v>0.25606950866715911</v>
      </c>
      <c r="AA45" s="27">
        <f t="shared" si="25"/>
        <v>0.25632557817582624</v>
      </c>
      <c r="AB45" s="27">
        <f t="shared" si="25"/>
        <v>0.25658190375400203</v>
      </c>
      <c r="AC45" s="27">
        <f t="shared" si="25"/>
        <v>0.25683848565775602</v>
      </c>
      <c r="AD45" s="27">
        <f t="shared" si="25"/>
        <v>0.25709532414341374</v>
      </c>
      <c r="AE45" s="27">
        <f t="shared" si="25"/>
        <v>0.2573524194675571</v>
      </c>
      <c r="AF45" s="27">
        <f t="shared" si="25"/>
        <v>0.25760977188702461</v>
      </c>
      <c r="AG45" s="27">
        <f t="shared" si="25"/>
        <v>0.2578673816589116</v>
      </c>
      <c r="AH45" s="27">
        <f t="shared" si="25"/>
        <v>0.25812524904057049</v>
      </c>
      <c r="AI45" s="27">
        <f t="shared" si="25"/>
        <v>0.25838337428961106</v>
      </c>
      <c r="AJ45" s="27">
        <f t="shared" si="25"/>
        <v>0.25864175766390063</v>
      </c>
      <c r="AK45" s="27">
        <f t="shared" si="25"/>
        <v>0.25890039942156451</v>
      </c>
      <c r="AL45" s="27">
        <f t="shared" si="25"/>
        <v>0.25915929982098607</v>
      </c>
      <c r="AM45" s="27">
        <f t="shared" si="25"/>
        <v>0.25941845912080702</v>
      </c>
      <c r="AN45" s="27">
        <f t="shared" si="25"/>
        <v>0.25967787757992777</v>
      </c>
      <c r="AO45" s="27">
        <f t="shared" si="25"/>
        <v>0.25993755545750769</v>
      </c>
      <c r="AP45" s="27">
        <f t="shared" si="25"/>
        <v>0.26019749301296519</v>
      </c>
      <c r="AQ45" s="27">
        <f t="shared" si="25"/>
        <v>0.26045769050597811</v>
      </c>
      <c r="AR45" s="27">
        <f t="shared" si="25"/>
        <v>0.26071814819648403</v>
      </c>
      <c r="AS45" s="27">
        <f t="shared" si="25"/>
        <v>0.26097886634468048</v>
      </c>
      <c r="AT45" s="27">
        <f t="shared" si="25"/>
        <v>0.26123984521102511</v>
      </c>
      <c r="AU45" s="27">
        <f t="shared" si="25"/>
        <v>0.26150108505623609</v>
      </c>
      <c r="AV45" s="27">
        <f t="shared" si="25"/>
        <v>0.26176258614129227</v>
      </c>
      <c r="AW45" s="27">
        <f t="shared" si="25"/>
        <v>0.26202434872743352</v>
      </c>
      <c r="AX45" s="27">
        <f t="shared" si="25"/>
        <v>0.26228637307616093</v>
      </c>
      <c r="AY45" s="27">
        <f t="shared" si="25"/>
        <v>0.26254865944923705</v>
      </c>
      <c r="AZ45" s="27">
        <f t="shared" si="25"/>
        <v>0.26281120810868625</v>
      </c>
      <c r="BA45" s="27">
        <f t="shared" si="25"/>
        <v>0.26307401931679492</v>
      </c>
      <c r="BB45" s="27">
        <f t="shared" si="25"/>
        <v>0.26333709333611166</v>
      </c>
      <c r="BC45" s="27">
        <f t="shared" si="25"/>
        <v>0.26360043042944775</v>
      </c>
      <c r="BD45" s="27">
        <f t="shared" si="25"/>
        <v>0.2638640308598772</v>
      </c>
      <c r="BE45" s="27">
        <f t="shared" si="25"/>
        <v>0.26412789489073707</v>
      </c>
      <c r="BF45" s="27">
        <f t="shared" si="25"/>
        <v>0.26439202278562779</v>
      </c>
      <c r="BG45" s="27">
        <f t="shared" si="25"/>
        <v>0.2646564148084134</v>
      </c>
      <c r="BH45" s="27">
        <f t="shared" si="25"/>
        <v>0.26492107122322178</v>
      </c>
      <c r="BI45" s="27">
        <f t="shared" si="25"/>
        <v>0.26518599229444495</v>
      </c>
    </row>
    <row r="46" spans="1:61" x14ac:dyDescent="0.25">
      <c r="A46" s="59" t="s">
        <v>162</v>
      </c>
      <c r="B46" s="18">
        <v>1E-3</v>
      </c>
      <c r="C46" s="18">
        <v>1E-3</v>
      </c>
      <c r="D46" s="18">
        <v>1E-3</v>
      </c>
      <c r="E46" s="18">
        <v>1E-3</v>
      </c>
      <c r="F46" s="18">
        <v>1E-3</v>
      </c>
      <c r="G46" s="18">
        <v>1E-3</v>
      </c>
      <c r="H46" s="18">
        <v>1E-3</v>
      </c>
      <c r="I46" s="18">
        <v>1E-3</v>
      </c>
      <c r="J46" s="18">
        <v>1E-3</v>
      </c>
      <c r="K46" s="18">
        <v>1E-3</v>
      </c>
      <c r="L46" s="18">
        <v>1E-3</v>
      </c>
      <c r="M46" s="18">
        <v>1E-3</v>
      </c>
      <c r="N46" s="18">
        <v>1E-3</v>
      </c>
      <c r="O46" s="18">
        <v>1E-3</v>
      </c>
      <c r="P46" s="18">
        <v>1E-3</v>
      </c>
      <c r="Q46" s="18">
        <v>1E-3</v>
      </c>
      <c r="R46" s="18">
        <v>1E-3</v>
      </c>
      <c r="S46" s="18">
        <v>1E-3</v>
      </c>
      <c r="T46" s="18">
        <v>1E-3</v>
      </c>
      <c r="U46" s="18">
        <v>1E-3</v>
      </c>
      <c r="V46" s="18">
        <v>1E-3</v>
      </c>
      <c r="W46" s="18">
        <v>1E-3</v>
      </c>
      <c r="X46" s="18">
        <v>1E-3</v>
      </c>
      <c r="Y46" s="18">
        <v>1E-3</v>
      </c>
      <c r="Z46" s="18">
        <v>1E-3</v>
      </c>
      <c r="AA46" s="18">
        <v>1E-3</v>
      </c>
      <c r="AB46" s="18">
        <v>1E-3</v>
      </c>
      <c r="AC46" s="18">
        <v>1E-3</v>
      </c>
      <c r="AD46" s="18">
        <v>1E-3</v>
      </c>
      <c r="AE46" s="18">
        <v>1E-3</v>
      </c>
      <c r="AF46" s="18">
        <v>1E-3</v>
      </c>
      <c r="AG46" s="18">
        <v>1E-3</v>
      </c>
      <c r="AH46" s="18">
        <v>1E-3</v>
      </c>
      <c r="AI46" s="18">
        <v>1E-3</v>
      </c>
      <c r="AJ46" s="18">
        <v>1E-3</v>
      </c>
      <c r="AK46" s="18">
        <v>1E-3</v>
      </c>
      <c r="AL46" s="18">
        <v>1E-3</v>
      </c>
      <c r="AM46" s="18">
        <v>1E-3</v>
      </c>
      <c r="AN46" s="18">
        <v>1E-3</v>
      </c>
      <c r="AO46" s="18">
        <v>1E-3</v>
      </c>
      <c r="AP46" s="18">
        <v>1E-3</v>
      </c>
      <c r="AQ46" s="18">
        <v>1E-3</v>
      </c>
      <c r="AR46" s="18">
        <v>1E-3</v>
      </c>
      <c r="AS46" s="18">
        <v>1E-3</v>
      </c>
      <c r="AT46" s="18">
        <v>1E-3</v>
      </c>
      <c r="AU46" s="18">
        <v>1E-3</v>
      </c>
      <c r="AV46" s="18">
        <v>1E-3</v>
      </c>
      <c r="AW46" s="18">
        <v>1E-3</v>
      </c>
      <c r="AX46" s="18">
        <v>1E-3</v>
      </c>
      <c r="AY46" s="18">
        <v>1E-3</v>
      </c>
      <c r="AZ46" s="18">
        <v>1E-3</v>
      </c>
      <c r="BA46" s="18">
        <v>1E-3</v>
      </c>
      <c r="BB46" s="18">
        <v>1E-3</v>
      </c>
      <c r="BC46" s="18">
        <v>1E-3</v>
      </c>
      <c r="BD46" s="18">
        <v>1E-3</v>
      </c>
      <c r="BE46" s="18">
        <v>1E-3</v>
      </c>
      <c r="BF46" s="18">
        <v>1E-3</v>
      </c>
      <c r="BG46" s="18">
        <v>1E-3</v>
      </c>
      <c r="BH46" s="18">
        <v>1E-3</v>
      </c>
      <c r="BI46" s="18">
        <v>1E-3</v>
      </c>
    </row>
    <row r="47" spans="1:61" s="47" customFormat="1" x14ac:dyDescent="0.25">
      <c r="A47" s="64" t="s">
        <v>199</v>
      </c>
      <c r="B47" s="52">
        <f>B43*B45</f>
        <v>0</v>
      </c>
      <c r="C47" s="52">
        <f t="shared" ref="C47:BI47" si="26">C43*C45</f>
        <v>0</v>
      </c>
      <c r="D47" s="52">
        <f t="shared" si="26"/>
        <v>0</v>
      </c>
      <c r="E47" s="52">
        <f t="shared" si="26"/>
        <v>62.220626580032906</v>
      </c>
      <c r="F47" s="52">
        <f t="shared" si="26"/>
        <v>125.45384944718099</v>
      </c>
      <c r="G47" s="52">
        <f t="shared" si="26"/>
        <v>189.71882803115042</v>
      </c>
      <c r="H47" s="52">
        <f t="shared" si="26"/>
        <v>255.03531910771065</v>
      </c>
      <c r="I47" s="52">
        <f t="shared" si="26"/>
        <v>321.42370568600518</v>
      </c>
      <c r="J47" s="52">
        <f t="shared" si="26"/>
        <v>388.9050275747104</v>
      </c>
      <c r="K47" s="52">
        <f t="shared" si="26"/>
        <v>457.50101372999728</v>
      </c>
      <c r="L47" s="52">
        <f t="shared" si="26"/>
        <v>527.23411649465902</v>
      </c>
      <c r="M47" s="52">
        <f t="shared" si="26"/>
        <v>598.12754784457832</v>
      </c>
      <c r="N47" s="52">
        <f t="shared" si="26"/>
        <v>670.20531776593634</v>
      </c>
      <c r="O47" s="52">
        <f t="shared" si="26"/>
        <v>743.49227489425709</v>
      </c>
      <c r="P47" s="52">
        <f t="shared" si="26"/>
        <v>818.01414955454197</v>
      </c>
      <c r="Q47" s="52">
        <f t="shared" si="26"/>
        <v>893.79759935043137</v>
      </c>
      <c r="R47" s="52">
        <f t="shared" si="26"/>
        <v>970.87025745954179</v>
      </c>
      <c r="S47" s="52">
        <f t="shared" si="26"/>
        <v>1049.2607838019339</v>
      </c>
      <c r="T47" s="52">
        <f t="shared" si="26"/>
        <v>1128.9989192590626</v>
      </c>
      <c r="U47" s="52">
        <f t="shared" si="26"/>
        <v>1210.1155431316279</v>
      </c>
      <c r="V47" s="52">
        <f t="shared" si="26"/>
        <v>1292.6427340364964</v>
      </c>
      <c r="W47" s="52">
        <f t="shared" si="26"/>
        <v>1376.6138344553401</v>
      </c>
      <c r="X47" s="52">
        <f t="shared" si="26"/>
        <v>1462.0635191609185</v>
      </c>
      <c r="Y47" s="52">
        <f t="shared" si="26"/>
        <v>1549.0278677610145</v>
      </c>
      <c r="Z47" s="52">
        <f t="shared" si="26"/>
        <v>1637.544441615019</v>
      </c>
      <c r="AA47" s="52">
        <f t="shared" si="26"/>
        <v>1727.6523653940746</v>
      </c>
      <c r="AB47" s="52">
        <f t="shared" si="26"/>
        <v>1819.3924135725983</v>
      </c>
      <c r="AC47" s="52">
        <f t="shared" si="26"/>
        <v>1912.8071021569649</v>
      </c>
      <c r="AD47" s="52">
        <f t="shared" si="26"/>
        <v>2007.9407859762396</v>
      </c>
      <c r="AE47" s="52">
        <f t="shared" si="26"/>
        <v>2104.83976188012</v>
      </c>
      <c r="AF47" s="52">
        <f t="shared" si="26"/>
        <v>2203.552378210818</v>
      </c>
      <c r="AG47" s="52">
        <f t="shared" si="26"/>
        <v>2304.1291509385019</v>
      </c>
      <c r="AH47" s="52">
        <f t="shared" si="26"/>
        <v>2406.6228868742746</v>
      </c>
      <c r="AI47" s="52">
        <f t="shared" si="26"/>
        <v>2511.0888144005089</v>
      </c>
      <c r="AJ47" s="52">
        <f t="shared" si="26"/>
        <v>2617.5847221858503</v>
      </c>
      <c r="AK47" s="52">
        <f t="shared" si="26"/>
        <v>2726.1711063813977</v>
      </c>
      <c r="AL47" s="52">
        <f t="shared" si="26"/>
        <v>2836.9113268255837</v>
      </c>
      <c r="AM47" s="52">
        <f t="shared" si="26"/>
        <v>2949.8717728182642</v>
      </c>
      <c r="AN47" s="52">
        <f t="shared" si="26"/>
        <v>3065.1220390595458</v>
      </c>
      <c r="AO47" s="52">
        <f t="shared" si="26"/>
        <v>3182.7351123861072</v>
      </c>
      <c r="AP47" s="52">
        <f t="shared" si="26"/>
        <v>3302.7875699773062</v>
      </c>
      <c r="AQ47" s="52">
        <f t="shared" si="26"/>
        <v>3425.359789745437</v>
      </c>
      <c r="AR47" s="52">
        <f t="shared" si="26"/>
        <v>3550.5361736691016</v>
      </c>
      <c r="AS47" s="52">
        <f t="shared" si="26"/>
        <v>3678.4053848761582</v>
      </c>
      <c r="AT47" s="52">
        <f t="shared" si="26"/>
        <v>3809.0605993331174</v>
      </c>
      <c r="AU47" s="52">
        <f t="shared" si="26"/>
        <v>3942.5997730514273</v>
      </c>
      <c r="AV47" s="52">
        <f t="shared" si="26"/>
        <v>4079.1259257780466</v>
      </c>
      <c r="AW47" s="52">
        <f t="shared" si="26"/>
        <v>4218.7474421981769</v>
      </c>
      <c r="AX47" s="52">
        <f t="shared" si="26"/>
        <v>4361.5783917423187</v>
      </c>
      <c r="AY47" s="52">
        <f t="shared" si="26"/>
        <v>4507.738868158136</v>
      </c>
      <c r="AZ47" s="52">
        <f t="shared" si="26"/>
        <v>4657.3553500801727</v>
      </c>
      <c r="BA47" s="52">
        <f t="shared" si="26"/>
        <v>4810.5610839076198</v>
      </c>
      <c r="BB47" s="52">
        <f t="shared" si="26"/>
        <v>4967.496490382262</v>
      </c>
      <c r="BC47" s="52">
        <f t="shared" si="26"/>
        <v>5128.3095963458363</v>
      </c>
      <c r="BD47" s="52">
        <f t="shared" si="26"/>
        <v>5293.156493248568</v>
      </c>
      <c r="BE47" s="52">
        <f t="shared" si="26"/>
        <v>5462.2018240789666</v>
      </c>
      <c r="BF47" s="52">
        <f t="shared" si="26"/>
        <v>5635.619300489474</v>
      </c>
      <c r="BG47" s="52">
        <f t="shared" si="26"/>
        <v>5813.5922520035674</v>
      </c>
      <c r="BH47" s="52">
        <f t="shared" si="26"/>
        <v>5996.314209307905</v>
      </c>
      <c r="BI47" s="52">
        <f t="shared" si="26"/>
        <v>6183.9895237584524</v>
      </c>
    </row>
    <row r="48" spans="1:61" x14ac:dyDescent="0.25">
      <c r="A48" s="4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</row>
    <row r="49" spans="1:61" x14ac:dyDescent="0.25">
      <c r="A49" s="59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</row>
    <row r="50" spans="1:61" x14ac:dyDescent="0.25">
      <c r="A50" s="59" t="s">
        <v>194</v>
      </c>
      <c r="B50" s="66">
        <v>1.4999999999999999E-2</v>
      </c>
      <c r="C50" s="61">
        <f>B50*(1+B51)</f>
        <v>1.515E-2</v>
      </c>
      <c r="D50" s="61">
        <f t="shared" ref="D50:BI50" si="27">C50*(1+C51)</f>
        <v>1.5301500000000001E-2</v>
      </c>
      <c r="E50" s="61">
        <f t="shared" si="27"/>
        <v>1.5454515E-2</v>
      </c>
      <c r="F50" s="61">
        <f t="shared" si="27"/>
        <v>1.5609060150000001E-2</v>
      </c>
      <c r="G50" s="61">
        <f t="shared" si="27"/>
        <v>1.57651507515E-2</v>
      </c>
      <c r="H50" s="61">
        <f t="shared" si="27"/>
        <v>1.5922802259015E-2</v>
      </c>
      <c r="I50" s="61">
        <f t="shared" si="27"/>
        <v>1.608203028160515E-2</v>
      </c>
      <c r="J50" s="61">
        <f t="shared" si="27"/>
        <v>1.6242850584421202E-2</v>
      </c>
      <c r="K50" s="61">
        <f t="shared" si="27"/>
        <v>1.6405279090265415E-2</v>
      </c>
      <c r="L50" s="61">
        <f t="shared" si="27"/>
        <v>1.6569331881168069E-2</v>
      </c>
      <c r="M50" s="61">
        <f t="shared" si="27"/>
        <v>1.6735025199979749E-2</v>
      </c>
      <c r="N50" s="61">
        <f t="shared" si="27"/>
        <v>1.6902375451979545E-2</v>
      </c>
      <c r="O50" s="61">
        <f t="shared" si="27"/>
        <v>1.7071399206499339E-2</v>
      </c>
      <c r="P50" s="61">
        <f t="shared" si="27"/>
        <v>1.7242113198564332E-2</v>
      </c>
      <c r="Q50" s="61">
        <f t="shared" si="27"/>
        <v>1.7414534330549975E-2</v>
      </c>
      <c r="R50" s="61">
        <f t="shared" si="27"/>
        <v>1.7588679673855474E-2</v>
      </c>
      <c r="S50" s="61">
        <f t="shared" si="27"/>
        <v>1.7764566470594028E-2</v>
      </c>
      <c r="T50" s="61">
        <f t="shared" si="27"/>
        <v>1.7942212135299968E-2</v>
      </c>
      <c r="U50" s="61">
        <f t="shared" si="27"/>
        <v>1.8121634256652967E-2</v>
      </c>
      <c r="V50" s="61">
        <f t="shared" si="27"/>
        <v>1.8302850599219496E-2</v>
      </c>
      <c r="W50" s="61">
        <f t="shared" si="27"/>
        <v>1.848587910521169E-2</v>
      </c>
      <c r="X50" s="61">
        <f t="shared" si="27"/>
        <v>1.8670737896263806E-2</v>
      </c>
      <c r="Y50" s="61">
        <f t="shared" si="27"/>
        <v>1.8857445275226443E-2</v>
      </c>
      <c r="Z50" s="61">
        <f t="shared" si="27"/>
        <v>1.9046019727978706E-2</v>
      </c>
      <c r="AA50" s="61">
        <f t="shared" si="27"/>
        <v>1.9236479925258492E-2</v>
      </c>
      <c r="AB50" s="61">
        <f t="shared" si="27"/>
        <v>1.9428844724511077E-2</v>
      </c>
      <c r="AC50" s="61">
        <f t="shared" si="27"/>
        <v>1.9623133171756187E-2</v>
      </c>
      <c r="AD50" s="61">
        <f t="shared" si="27"/>
        <v>1.9819364503473748E-2</v>
      </c>
      <c r="AE50" s="61">
        <f t="shared" si="27"/>
        <v>2.0017558148508485E-2</v>
      </c>
      <c r="AF50" s="61">
        <f t="shared" si="27"/>
        <v>2.0217733729993571E-2</v>
      </c>
      <c r="AG50" s="61">
        <f t="shared" si="27"/>
        <v>2.0419911067293506E-2</v>
      </c>
      <c r="AH50" s="61">
        <f t="shared" si="27"/>
        <v>2.0624110177966441E-2</v>
      </c>
      <c r="AI50" s="61">
        <f t="shared" si="27"/>
        <v>2.0830351279746105E-2</v>
      </c>
      <c r="AJ50" s="61">
        <f t="shared" si="27"/>
        <v>2.1038654792543566E-2</v>
      </c>
      <c r="AK50" s="61">
        <f t="shared" si="27"/>
        <v>2.1249041340469003E-2</v>
      </c>
      <c r="AL50" s="61">
        <f t="shared" si="27"/>
        <v>2.1461531753873695E-2</v>
      </c>
      <c r="AM50" s="61">
        <f t="shared" si="27"/>
        <v>2.1676147071412431E-2</v>
      </c>
      <c r="AN50" s="61">
        <f t="shared" si="27"/>
        <v>2.1892908542126555E-2</v>
      </c>
      <c r="AO50" s="61">
        <f t="shared" si="27"/>
        <v>2.2111837627547822E-2</v>
      </c>
      <c r="AP50" s="61">
        <f t="shared" si="27"/>
        <v>2.23329560038233E-2</v>
      </c>
      <c r="AQ50" s="61">
        <f t="shared" si="27"/>
        <v>2.2556285563861533E-2</v>
      </c>
      <c r="AR50" s="61">
        <f t="shared" si="27"/>
        <v>2.2781848419500147E-2</v>
      </c>
      <c r="AS50" s="61">
        <f t="shared" si="27"/>
        <v>2.3009666903695148E-2</v>
      </c>
      <c r="AT50" s="61">
        <f t="shared" si="27"/>
        <v>2.3239763572732101E-2</v>
      </c>
      <c r="AU50" s="61">
        <f t="shared" si="27"/>
        <v>2.3472161208459422E-2</v>
      </c>
      <c r="AV50" s="61">
        <f t="shared" si="27"/>
        <v>2.3706882820544017E-2</v>
      </c>
      <c r="AW50" s="61">
        <f t="shared" si="27"/>
        <v>2.3943951648749458E-2</v>
      </c>
      <c r="AX50" s="61">
        <f t="shared" si="27"/>
        <v>2.4183391165236955E-2</v>
      </c>
      <c r="AY50" s="61">
        <f t="shared" si="27"/>
        <v>2.4425225076889323E-2</v>
      </c>
      <c r="AZ50" s="61">
        <f t="shared" si="27"/>
        <v>2.4669477327658215E-2</v>
      </c>
      <c r="BA50" s="61">
        <f t="shared" si="27"/>
        <v>2.4916172100934799E-2</v>
      </c>
      <c r="BB50" s="61">
        <f t="shared" si="27"/>
        <v>2.5165333821944146E-2</v>
      </c>
      <c r="BC50" s="61">
        <f t="shared" si="27"/>
        <v>2.5416987160163589E-2</v>
      </c>
      <c r="BD50" s="61">
        <f t="shared" si="27"/>
        <v>2.5671157031765226E-2</v>
      </c>
      <c r="BE50" s="61">
        <f t="shared" si="27"/>
        <v>2.592786860208288E-2</v>
      </c>
      <c r="BF50" s="61">
        <f t="shared" si="27"/>
        <v>2.6187147288103708E-2</v>
      </c>
      <c r="BG50" s="61">
        <f t="shared" si="27"/>
        <v>2.6449018760984745E-2</v>
      </c>
      <c r="BH50" s="61">
        <f t="shared" si="27"/>
        <v>2.6713508948594592E-2</v>
      </c>
      <c r="BI50" s="61">
        <f t="shared" si="27"/>
        <v>2.6980644038080537E-2</v>
      </c>
    </row>
    <row r="51" spans="1:61" x14ac:dyDescent="0.25">
      <c r="A51" s="59" t="s">
        <v>162</v>
      </c>
      <c r="B51" s="18">
        <v>0.01</v>
      </c>
      <c r="C51" s="18">
        <v>0.01</v>
      </c>
      <c r="D51" s="18">
        <v>0.01</v>
      </c>
      <c r="E51" s="18">
        <v>0.01</v>
      </c>
      <c r="F51" s="18">
        <v>0.01</v>
      </c>
      <c r="G51" s="18">
        <v>0.01</v>
      </c>
      <c r="H51" s="18">
        <v>0.01</v>
      </c>
      <c r="I51" s="18">
        <v>0.01</v>
      </c>
      <c r="J51" s="18">
        <v>0.01</v>
      </c>
      <c r="K51" s="18">
        <v>0.01</v>
      </c>
      <c r="L51" s="18">
        <v>0.01</v>
      </c>
      <c r="M51" s="18">
        <v>0.01</v>
      </c>
      <c r="N51" s="18">
        <v>0.01</v>
      </c>
      <c r="O51" s="18">
        <v>0.01</v>
      </c>
      <c r="P51" s="18">
        <v>0.01</v>
      </c>
      <c r="Q51" s="18">
        <v>0.01</v>
      </c>
      <c r="R51" s="18">
        <v>0.01</v>
      </c>
      <c r="S51" s="18">
        <v>0.01</v>
      </c>
      <c r="T51" s="18">
        <v>0.01</v>
      </c>
      <c r="U51" s="18">
        <v>0.01</v>
      </c>
      <c r="V51" s="18">
        <v>0.01</v>
      </c>
      <c r="W51" s="18">
        <v>0.01</v>
      </c>
      <c r="X51" s="18">
        <v>0.01</v>
      </c>
      <c r="Y51" s="18">
        <v>0.01</v>
      </c>
      <c r="Z51" s="18">
        <v>0.01</v>
      </c>
      <c r="AA51" s="18">
        <v>0.01</v>
      </c>
      <c r="AB51" s="18">
        <v>0.01</v>
      </c>
      <c r="AC51" s="18">
        <v>0.01</v>
      </c>
      <c r="AD51" s="18">
        <v>0.01</v>
      </c>
      <c r="AE51" s="18">
        <v>0.01</v>
      </c>
      <c r="AF51" s="18">
        <v>0.01</v>
      </c>
      <c r="AG51" s="18">
        <v>0.01</v>
      </c>
      <c r="AH51" s="18">
        <v>0.01</v>
      </c>
      <c r="AI51" s="18">
        <v>0.01</v>
      </c>
      <c r="AJ51" s="18">
        <v>0.01</v>
      </c>
      <c r="AK51" s="18">
        <v>0.01</v>
      </c>
      <c r="AL51" s="18">
        <v>0.01</v>
      </c>
      <c r="AM51" s="18">
        <v>0.01</v>
      </c>
      <c r="AN51" s="18">
        <v>0.01</v>
      </c>
      <c r="AO51" s="18">
        <v>0.01</v>
      </c>
      <c r="AP51" s="18">
        <v>0.01</v>
      </c>
      <c r="AQ51" s="18">
        <v>0.01</v>
      </c>
      <c r="AR51" s="18">
        <v>0.01</v>
      </c>
      <c r="AS51" s="18">
        <v>0.01</v>
      </c>
      <c r="AT51" s="18">
        <v>0.01</v>
      </c>
      <c r="AU51" s="18">
        <v>0.01</v>
      </c>
      <c r="AV51" s="18">
        <v>0.01</v>
      </c>
      <c r="AW51" s="18">
        <v>0.01</v>
      </c>
      <c r="AX51" s="18">
        <v>0.01</v>
      </c>
      <c r="AY51" s="18">
        <v>0.01</v>
      </c>
      <c r="AZ51" s="18">
        <v>0.01</v>
      </c>
      <c r="BA51" s="18">
        <v>0.01</v>
      </c>
      <c r="BB51" s="18">
        <v>0.01</v>
      </c>
      <c r="BC51" s="18">
        <v>0.01</v>
      </c>
      <c r="BD51" s="18">
        <v>0.01</v>
      </c>
      <c r="BE51" s="18">
        <v>0.01</v>
      </c>
      <c r="BF51" s="18">
        <v>0.01</v>
      </c>
      <c r="BG51" s="18">
        <v>0.01</v>
      </c>
      <c r="BH51" s="18">
        <v>0.01</v>
      </c>
      <c r="BI51" s="18">
        <v>0.01</v>
      </c>
    </row>
    <row r="52" spans="1:61" x14ac:dyDescent="0.25">
      <c r="A52" s="59" t="s">
        <v>195</v>
      </c>
      <c r="B52" s="65">
        <f>B37*B50</f>
        <v>0</v>
      </c>
      <c r="C52" s="65">
        <f t="shared" ref="C52:BI52" si="28">C37*C50</f>
        <v>0</v>
      </c>
      <c r="D52" s="65">
        <f t="shared" si="28"/>
        <v>0</v>
      </c>
      <c r="E52" s="65">
        <f t="shared" si="28"/>
        <v>5.0978144469515625</v>
      </c>
      <c r="F52" s="65">
        <f t="shared" si="28"/>
        <v>10.360646453721333</v>
      </c>
      <c r="G52" s="65">
        <f t="shared" si="28"/>
        <v>15.793068326486353</v>
      </c>
      <c r="H52" s="65">
        <f t="shared" si="28"/>
        <v>21.39979577345586</v>
      </c>
      <c r="I52" s="65">
        <f t="shared" si="28"/>
        <v>27.185693894173689</v>
      </c>
      <c r="J52" s="65">
        <f t="shared" si="28"/>
        <v>33.155783499205384</v>
      </c>
      <c r="K52" s="65">
        <f t="shared" si="28"/>
        <v>39.315247781510976</v>
      </c>
      <c r="L52" s="65">
        <f t="shared" si="28"/>
        <v>45.669439362267113</v>
      </c>
      <c r="M52" s="65">
        <f t="shared" si="28"/>
        <v>52.223887735468182</v>
      </c>
      <c r="N52" s="65">
        <f t="shared" si="28"/>
        <v>58.984307137311468</v>
      </c>
      <c r="O52" s="65">
        <f t="shared" si="28"/>
        <v>65.956604868165101</v>
      </c>
      <c r="P52" s="65">
        <f t="shared" si="28"/>
        <v>73.146890096837112</v>
      </c>
      <c r="Q52" s="65">
        <f t="shared" si="28"/>
        <v>80.56148317891882</v>
      </c>
      <c r="R52" s="65">
        <f t="shared" si="28"/>
        <v>88.206925523175116</v>
      </c>
      <c r="S52" s="65">
        <f t="shared" si="28"/>
        <v>96.089990042308557</v>
      </c>
      <c r="T52" s="65">
        <f t="shared" si="28"/>
        <v>104.21769222694466</v>
      </c>
      <c r="U52" s="65">
        <f t="shared" si="28"/>
        <v>112.59730188438341</v>
      </c>
      <c r="V52" s="65">
        <f t="shared" si="28"/>
        <v>121.23635558655039</v>
      </c>
      <c r="W52" s="65">
        <f t="shared" si="28"/>
        <v>130.14266987467292</v>
      </c>
      <c r="X52" s="65">
        <f t="shared" si="28"/>
        <v>139.3243552715162</v>
      </c>
      <c r="Y52" s="65">
        <f t="shared" si="28"/>
        <v>148.78983115555903</v>
      </c>
      <c r="Z52" s="65">
        <f t="shared" si="28"/>
        <v>158.54784155528171</v>
      </c>
      <c r="AA52" s="65">
        <f t="shared" si="28"/>
        <v>168.60747192580135</v>
      </c>
      <c r="AB52" s="65">
        <f t="shared" si="28"/>
        <v>178.97816697443852</v>
      </c>
      <c r="AC52" s="65">
        <f t="shared" si="28"/>
        <v>189.6697496064551</v>
      </c>
      <c r="AD52" s="65">
        <f t="shared" si="28"/>
        <v>200.69244106718909</v>
      </c>
      <c r="AE52" s="65">
        <f t="shared" si="28"/>
        <v>212.05688236214957</v>
      </c>
      <c r="AF52" s="65">
        <f t="shared" si="28"/>
        <v>223.77415704235071</v>
      </c>
      <c r="AG52" s="65">
        <f t="shared" si="28"/>
        <v>235.85581544828284</v>
      </c>
      <c r="AH52" s="65">
        <f t="shared" si="28"/>
        <v>248.3139005124722</v>
      </c>
      <c r="AI52" s="65">
        <f t="shared" si="28"/>
        <v>261.16097522759588</v>
      </c>
      <c r="AJ52" s="65">
        <f t="shared" si="28"/>
        <v>274.41015189463303</v>
      </c>
      <c r="AK52" s="65">
        <f t="shared" si="28"/>
        <v>288.07512327357716</v>
      </c>
      <c r="AL52" s="65">
        <f t="shared" si="28"/>
        <v>302.17019576784941</v>
      </c>
      <c r="AM52" s="65">
        <f t="shared" si="28"/>
        <v>316.71032478277652</v>
      </c>
      <c r="AN52" s="65">
        <f t="shared" si="28"/>
        <v>331.71115240837651</v>
      </c>
      <c r="AO52" s="65">
        <f t="shared" si="28"/>
        <v>347.18904758727183</v>
      </c>
      <c r="AP52" s="65">
        <f t="shared" si="28"/>
        <v>363.16114893987634</v>
      </c>
      <c r="AQ52" s="65">
        <f t="shared" si="28"/>
        <v>379.64541043113519</v>
      </c>
      <c r="AR52" s="65">
        <f t="shared" si="28"/>
        <v>396.66065007608296</v>
      </c>
      <c r="AS52" s="65">
        <f t="shared" si="28"/>
        <v>414.22660189539772</v>
      </c>
      <c r="AT52" s="65">
        <f t="shared" si="28"/>
        <v>432.36397134702548</v>
      </c>
      <c r="AU52" s="65">
        <f t="shared" si="28"/>
        <v>451.09449447590146</v>
      </c>
      <c r="AV52" s="65">
        <f t="shared" si="28"/>
        <v>470.4410010408792</v>
      </c>
      <c r="AW52" s="65">
        <f t="shared" si="28"/>
        <v>490.42748189627355</v>
      </c>
      <c r="AX52" s="65">
        <f t="shared" si="28"/>
        <v>511.07916092501779</v>
      </c>
      <c r="AY52" s="65">
        <f t="shared" si="28"/>
        <v>532.42257184141772</v>
      </c>
      <c r="AZ52" s="65">
        <f t="shared" si="28"/>
        <v>554.48564020395713</v>
      </c>
      <c r="BA52" s="65">
        <f t="shared" si="28"/>
        <v>577.29777100267506</v>
      </c>
      <c r="BB52" s="65">
        <f t="shared" si="28"/>
        <v>600.88994221140956</v>
      </c>
      <c r="BC52" s="65">
        <f t="shared" si="28"/>
        <v>625.29480472280488</v>
      </c>
      <c r="BD52" s="65">
        <f t="shared" si="28"/>
        <v>650.54678911353926</v>
      </c>
      <c r="BE52" s="65">
        <f t="shared" si="28"/>
        <v>676.68221971889238</v>
      </c>
      <c r="BF52" s="65">
        <f t="shared" si="28"/>
        <v>703.73943652967523</v>
      </c>
      <c r="BG52" s="65">
        <f t="shared" si="28"/>
        <v>731.75892546086175</v>
      </c>
      <c r="BH52" s="65">
        <f t="shared" si="28"/>
        <v>760.78345758014996</v>
      </c>
      <c r="BI52" s="65">
        <f t="shared" si="28"/>
        <v>790.85823792633323</v>
      </c>
    </row>
    <row r="53" spans="1:61" x14ac:dyDescent="0.25">
      <c r="A53" s="59" t="s">
        <v>196</v>
      </c>
      <c r="B53" s="62">
        <v>30</v>
      </c>
      <c r="C53" s="48">
        <f>B53*(1+B54)</f>
        <v>30.029999999999998</v>
      </c>
      <c r="D53" s="48">
        <f t="shared" ref="D53:BI53" si="29">C53*(1+C54)</f>
        <v>30.060029999999994</v>
      </c>
      <c r="E53" s="48">
        <f t="shared" si="29"/>
        <v>30.090090029999992</v>
      </c>
      <c r="F53" s="48">
        <f t="shared" si="29"/>
        <v>30.120180120029989</v>
      </c>
      <c r="G53" s="48">
        <f t="shared" si="29"/>
        <v>30.150300300150015</v>
      </c>
      <c r="H53" s="48">
        <f t="shared" si="29"/>
        <v>30.180450600450161</v>
      </c>
      <c r="I53" s="48">
        <f t="shared" si="29"/>
        <v>30.210631051050608</v>
      </c>
      <c r="J53" s="48">
        <f t="shared" si="29"/>
        <v>30.240841682101657</v>
      </c>
      <c r="K53" s="48">
        <f t="shared" si="29"/>
        <v>30.271082523783754</v>
      </c>
      <c r="L53" s="48">
        <f t="shared" si="29"/>
        <v>30.301353606307533</v>
      </c>
      <c r="M53" s="48">
        <f t="shared" si="29"/>
        <v>30.331654959913838</v>
      </c>
      <c r="N53" s="48">
        <f t="shared" si="29"/>
        <v>30.361986614873747</v>
      </c>
      <c r="O53" s="48">
        <f t="shared" si="29"/>
        <v>30.392348601488617</v>
      </c>
      <c r="P53" s="48">
        <f t="shared" si="29"/>
        <v>30.422740950090102</v>
      </c>
      <c r="Q53" s="48">
        <f t="shared" si="29"/>
        <v>30.453163691040189</v>
      </c>
      <c r="R53" s="48">
        <f t="shared" si="29"/>
        <v>30.483616854731224</v>
      </c>
      <c r="S53" s="48">
        <f t="shared" si="29"/>
        <v>30.514100471585952</v>
      </c>
      <c r="T53" s="48">
        <f t="shared" si="29"/>
        <v>30.544614572057533</v>
      </c>
      <c r="U53" s="48">
        <f t="shared" si="29"/>
        <v>30.575159186629588</v>
      </c>
      <c r="V53" s="48">
        <f t="shared" si="29"/>
        <v>30.605734345816213</v>
      </c>
      <c r="W53" s="48">
        <f t="shared" si="29"/>
        <v>30.636340080162025</v>
      </c>
      <c r="X53" s="48">
        <f t="shared" si="29"/>
        <v>30.666976420242182</v>
      </c>
      <c r="Y53" s="48">
        <f t="shared" si="29"/>
        <v>30.697643396662421</v>
      </c>
      <c r="Z53" s="48">
        <f t="shared" si="29"/>
        <v>30.728341040059082</v>
      </c>
      <c r="AA53" s="48">
        <f t="shared" si="29"/>
        <v>30.759069381099138</v>
      </c>
      <c r="AB53" s="48">
        <f t="shared" si="29"/>
        <v>30.789828450480233</v>
      </c>
      <c r="AC53" s="48">
        <f t="shared" si="29"/>
        <v>30.820618278930709</v>
      </c>
      <c r="AD53" s="48">
        <f t="shared" si="29"/>
        <v>30.851438897209636</v>
      </c>
      <c r="AE53" s="48">
        <f t="shared" si="29"/>
        <v>30.882290336106841</v>
      </c>
      <c r="AF53" s="48">
        <f t="shared" si="29"/>
        <v>30.913172626442943</v>
      </c>
      <c r="AG53" s="48">
        <f t="shared" si="29"/>
        <v>30.944085799069384</v>
      </c>
      <c r="AH53" s="48">
        <f t="shared" si="29"/>
        <v>30.975029884868452</v>
      </c>
      <c r="AI53" s="48">
        <f t="shared" si="29"/>
        <v>31.006004914753316</v>
      </c>
      <c r="AJ53" s="48">
        <f t="shared" si="29"/>
        <v>31.037010919668067</v>
      </c>
      <c r="AK53" s="48">
        <f t="shared" si="29"/>
        <v>31.068047930587731</v>
      </c>
      <c r="AL53" s="48">
        <f t="shared" si="29"/>
        <v>31.099115978518316</v>
      </c>
      <c r="AM53" s="48">
        <f t="shared" si="29"/>
        <v>31.13021509449683</v>
      </c>
      <c r="AN53" s="48">
        <f t="shared" si="29"/>
        <v>31.161345309591322</v>
      </c>
      <c r="AO53" s="48">
        <f t="shared" si="29"/>
        <v>31.19250665490091</v>
      </c>
      <c r="AP53" s="48">
        <f t="shared" si="29"/>
        <v>31.223699161555807</v>
      </c>
      <c r="AQ53" s="48">
        <f t="shared" si="29"/>
        <v>31.254922860717357</v>
      </c>
      <c r="AR53" s="48">
        <f t="shared" si="29"/>
        <v>31.286177783578072</v>
      </c>
      <c r="AS53" s="48">
        <f t="shared" si="29"/>
        <v>31.317463961361646</v>
      </c>
      <c r="AT53" s="48">
        <f t="shared" si="29"/>
        <v>31.348781425323004</v>
      </c>
      <c r="AU53" s="48">
        <f t="shared" si="29"/>
        <v>31.380130206748323</v>
      </c>
      <c r="AV53" s="48">
        <f t="shared" si="29"/>
        <v>31.411510336955068</v>
      </c>
      <c r="AW53" s="48">
        <f t="shared" si="29"/>
        <v>31.44292184729202</v>
      </c>
      <c r="AX53" s="48">
        <f t="shared" si="29"/>
        <v>31.47436476913931</v>
      </c>
      <c r="AY53" s="48">
        <f t="shared" si="29"/>
        <v>31.505839133908445</v>
      </c>
      <c r="AZ53" s="48">
        <f t="shared" si="29"/>
        <v>31.537344973042352</v>
      </c>
      <c r="BA53" s="48">
        <f t="shared" si="29"/>
        <v>31.56888231801539</v>
      </c>
      <c r="BB53" s="48">
        <f t="shared" si="29"/>
        <v>31.600451200333403</v>
      </c>
      <c r="BC53" s="48">
        <f t="shared" si="29"/>
        <v>31.632051651533732</v>
      </c>
      <c r="BD53" s="48">
        <f t="shared" si="29"/>
        <v>31.663683703185264</v>
      </c>
      <c r="BE53" s="48">
        <f t="shared" si="29"/>
        <v>31.695347386888447</v>
      </c>
      <c r="BF53" s="48">
        <f t="shared" si="29"/>
        <v>31.727042734275333</v>
      </c>
      <c r="BG53" s="48">
        <f t="shared" si="29"/>
        <v>31.758769777009604</v>
      </c>
      <c r="BH53" s="48">
        <f t="shared" si="29"/>
        <v>31.790528546786611</v>
      </c>
      <c r="BI53" s="48">
        <f t="shared" si="29"/>
        <v>31.822319075333393</v>
      </c>
    </row>
    <row r="54" spans="1:61" x14ac:dyDescent="0.25">
      <c r="A54" s="59" t="s">
        <v>162</v>
      </c>
      <c r="B54" s="18">
        <v>1E-3</v>
      </c>
      <c r="C54" s="18">
        <v>1E-3</v>
      </c>
      <c r="D54" s="18">
        <v>1E-3</v>
      </c>
      <c r="E54" s="18">
        <v>1E-3</v>
      </c>
      <c r="F54" s="18">
        <v>1E-3</v>
      </c>
      <c r="G54" s="18">
        <v>1E-3</v>
      </c>
      <c r="H54" s="18">
        <v>1E-3</v>
      </c>
      <c r="I54" s="18">
        <v>1E-3</v>
      </c>
      <c r="J54" s="18">
        <v>1E-3</v>
      </c>
      <c r="K54" s="18">
        <v>1E-3</v>
      </c>
      <c r="L54" s="18">
        <v>1E-3</v>
      </c>
      <c r="M54" s="18">
        <v>1E-3</v>
      </c>
      <c r="N54" s="18">
        <v>1E-3</v>
      </c>
      <c r="O54" s="18">
        <v>1E-3</v>
      </c>
      <c r="P54" s="18">
        <v>1E-3</v>
      </c>
      <c r="Q54" s="18">
        <v>1E-3</v>
      </c>
      <c r="R54" s="18">
        <v>1E-3</v>
      </c>
      <c r="S54" s="18">
        <v>1E-3</v>
      </c>
      <c r="T54" s="18">
        <v>1E-3</v>
      </c>
      <c r="U54" s="18">
        <v>1E-3</v>
      </c>
      <c r="V54" s="18">
        <v>1E-3</v>
      </c>
      <c r="W54" s="18">
        <v>1E-3</v>
      </c>
      <c r="X54" s="18">
        <v>1E-3</v>
      </c>
      <c r="Y54" s="18">
        <v>1E-3</v>
      </c>
      <c r="Z54" s="18">
        <v>1E-3</v>
      </c>
      <c r="AA54" s="18">
        <v>1E-3</v>
      </c>
      <c r="AB54" s="18">
        <v>1E-3</v>
      </c>
      <c r="AC54" s="18">
        <v>1E-3</v>
      </c>
      <c r="AD54" s="18">
        <v>1E-3</v>
      </c>
      <c r="AE54" s="18">
        <v>1E-3</v>
      </c>
      <c r="AF54" s="18">
        <v>1E-3</v>
      </c>
      <c r="AG54" s="18">
        <v>1E-3</v>
      </c>
      <c r="AH54" s="18">
        <v>1E-3</v>
      </c>
      <c r="AI54" s="18">
        <v>1E-3</v>
      </c>
      <c r="AJ54" s="18">
        <v>1E-3</v>
      </c>
      <c r="AK54" s="18">
        <v>1E-3</v>
      </c>
      <c r="AL54" s="18">
        <v>1E-3</v>
      </c>
      <c r="AM54" s="18">
        <v>1E-3</v>
      </c>
      <c r="AN54" s="18">
        <v>1E-3</v>
      </c>
      <c r="AO54" s="18">
        <v>1E-3</v>
      </c>
      <c r="AP54" s="18">
        <v>1E-3</v>
      </c>
      <c r="AQ54" s="18">
        <v>1E-3</v>
      </c>
      <c r="AR54" s="18">
        <v>1E-3</v>
      </c>
      <c r="AS54" s="18">
        <v>1E-3</v>
      </c>
      <c r="AT54" s="18">
        <v>1E-3</v>
      </c>
      <c r="AU54" s="18">
        <v>1E-3</v>
      </c>
      <c r="AV54" s="18">
        <v>1E-3</v>
      </c>
      <c r="AW54" s="18">
        <v>1E-3</v>
      </c>
      <c r="AX54" s="18">
        <v>1E-3</v>
      </c>
      <c r="AY54" s="18">
        <v>1E-3</v>
      </c>
      <c r="AZ54" s="18">
        <v>1E-3</v>
      </c>
      <c r="BA54" s="18">
        <v>1E-3</v>
      </c>
      <c r="BB54" s="18">
        <v>1E-3</v>
      </c>
      <c r="BC54" s="18">
        <v>1E-3</v>
      </c>
      <c r="BD54" s="18">
        <v>1E-3</v>
      </c>
      <c r="BE54" s="18">
        <v>1E-3</v>
      </c>
      <c r="BF54" s="18">
        <v>1E-3</v>
      </c>
      <c r="BG54" s="18">
        <v>1E-3</v>
      </c>
      <c r="BH54" s="18">
        <v>1E-3</v>
      </c>
      <c r="BI54" s="18">
        <v>1E-3</v>
      </c>
    </row>
    <row r="55" spans="1:61" x14ac:dyDescent="0.25">
      <c r="A55" s="4" t="s">
        <v>197</v>
      </c>
      <c r="B55" s="51">
        <f>B52*B53</f>
        <v>0</v>
      </c>
      <c r="C55" s="51">
        <f t="shared" ref="C55:BI55" si="30">C52*C53</f>
        <v>0</v>
      </c>
      <c r="D55" s="51">
        <f t="shared" si="30"/>
        <v>0</v>
      </c>
      <c r="E55" s="51">
        <f t="shared" si="30"/>
        <v>153.39369566500713</v>
      </c>
      <c r="F55" s="51">
        <f t="shared" si="30"/>
        <v>312.0645373460365</v>
      </c>
      <c r="G55" s="51">
        <f t="shared" si="30"/>
        <v>476.16575270435118</v>
      </c>
      <c r="H55" s="51">
        <f t="shared" si="30"/>
        <v>645.85547920050669</v>
      </c>
      <c r="I55" s="51">
        <f t="shared" si="30"/>
        <v>821.29696810368057</v>
      </c>
      <c r="J55" s="51">
        <f t="shared" si="30"/>
        <v>1002.6587996455085</v>
      </c>
      <c r="K55" s="51">
        <f t="shared" si="30"/>
        <v>1190.1151100371249</v>
      </c>
      <c r="L55" s="51">
        <f t="shared" si="30"/>
        <v>1383.8458311178758</v>
      </c>
      <c r="M55" s="51">
        <f t="shared" si="30"/>
        <v>1584.0369434574968</v>
      </c>
      <c r="N55" s="51">
        <f t="shared" si="30"/>
        <v>1790.8807437906528</v>
      </c>
      <c r="O55" s="51">
        <f t="shared" si="30"/>
        <v>2004.5761277239149</v>
      </c>
      <c r="P55" s="51">
        <f t="shared" si="30"/>
        <v>2225.3288887207864</v>
      </c>
      <c r="Q55" s="51">
        <f t="shared" si="30"/>
        <v>2453.3520344405956</v>
      </c>
      <c r="R55" s="51">
        <f t="shared" si="30"/>
        <v>2688.8661215822826</v>
      </c>
      <c r="S55" s="51">
        <f t="shared" si="30"/>
        <v>2932.099610464697</v>
      </c>
      <c r="T55" s="51">
        <f t="shared" si="30"/>
        <v>3183.289240661341</v>
      </c>
      <c r="U55" s="51">
        <f t="shared" si="30"/>
        <v>3442.6804291000103</v>
      </c>
      <c r="V55" s="51">
        <f t="shared" si="30"/>
        <v>3710.5276921368727</v>
      </c>
      <c r="W55" s="51">
        <f t="shared" si="30"/>
        <v>3987.095093220737</v>
      </c>
      <c r="X55" s="51">
        <f t="shared" si="30"/>
        <v>4272.656717877032</v>
      </c>
      <c r="Y55" s="51">
        <f t="shared" si="30"/>
        <v>4567.4971778629633</v>
      </c>
      <c r="Z55" s="51">
        <f t="shared" si="30"/>
        <v>4871.9121464759473</v>
      </c>
      <c r="AA55" s="51">
        <f t="shared" si="30"/>
        <v>5186.2089271374489</v>
      </c>
      <c r="AB55" s="51">
        <f t="shared" si="30"/>
        <v>5510.7070575243688</v>
      </c>
      <c r="AC55" s="51">
        <f t="shared" si="30"/>
        <v>5845.7389516809208</v>
      </c>
      <c r="AD55" s="51">
        <f t="shared" si="30"/>
        <v>6191.65058271623</v>
      </c>
      <c r="AE55" s="51">
        <f t="shared" si="30"/>
        <v>6548.802208877557</v>
      </c>
      <c r="AF55" s="51">
        <f t="shared" si="30"/>
        <v>6917.5691459869404</v>
      </c>
      <c r="AG55" s="51">
        <f t="shared" si="30"/>
        <v>7298.3425894411384</v>
      </c>
      <c r="AH55" s="51">
        <f t="shared" si="30"/>
        <v>7691.5304892020777</v>
      </c>
      <c r="AI55" s="51">
        <f t="shared" si="30"/>
        <v>8097.5584814486065</v>
      </c>
      <c r="AJ55" s="51">
        <f t="shared" si="30"/>
        <v>8516.8708808214978</v>
      </c>
      <c r="AK55" s="51">
        <f t="shared" si="30"/>
        <v>8949.9317374734637</v>
      </c>
      <c r="AL55" s="51">
        <f t="shared" si="30"/>
        <v>9397.2259634359325</v>
      </c>
      <c r="AM55" s="51">
        <f t="shared" si="30"/>
        <v>9859.2605331357827</v>
      </c>
      <c r="AN55" s="51">
        <f t="shared" si="30"/>
        <v>10336.565763239896</v>
      </c>
      <c r="AO55" s="51">
        <f t="shared" si="30"/>
        <v>10829.696677374686</v>
      </c>
      <c r="AP55" s="51">
        <f t="shared" si="30"/>
        <v>11339.23446166366</v>
      </c>
      <c r="AQ55" s="51">
        <f t="shared" si="30"/>
        <v>11865.788017450512</v>
      </c>
      <c r="AR55" s="51">
        <f t="shared" si="30"/>
        <v>12409.995618029983</v>
      </c>
      <c r="AS55" s="51">
        <f t="shared" si="30"/>
        <v>12972.526676696416</v>
      </c>
      <c r="AT55" s="51">
        <f t="shared" si="30"/>
        <v>13554.08363394252</v>
      </c>
      <c r="AU55" s="51">
        <f t="shared" si="30"/>
        <v>14155.4039722011</v>
      </c>
      <c r="AV55" s="51">
        <f t="shared" si="30"/>
        <v>14777.262367123067</v>
      </c>
      <c r="AW55" s="51">
        <f t="shared" si="30"/>
        <v>15420.472985028751</v>
      </c>
      <c r="AX55" s="51">
        <f t="shared" si="30"/>
        <v>16085.89193685966</v>
      </c>
      <c r="AY55" s="51">
        <f t="shared" si="30"/>
        <v>16774.419899697517</v>
      </c>
      <c r="AZ55" s="51">
        <f t="shared" si="30"/>
        <v>17487.004917710437</v>
      </c>
      <c r="BA55" s="51">
        <f t="shared" si="30"/>
        <v>18224.645395236046</v>
      </c>
      <c r="BB55" s="51">
        <f t="shared" si="30"/>
        <v>18988.393295622805</v>
      </c>
      <c r="BC55" s="51">
        <f t="shared" si="30"/>
        <v>19779.357560427463</v>
      </c>
      <c r="BD55" s="51">
        <f t="shared" si="30"/>
        <v>20598.707764613875</v>
      </c>
      <c r="BE55" s="51">
        <f t="shared" si="30"/>
        <v>21447.678024521068</v>
      </c>
      <c r="BF55" s="51">
        <f t="shared" si="30"/>
        <v>22327.571176571848</v>
      </c>
      <c r="BG55" s="51">
        <f t="shared" si="30"/>
        <v>23239.763245983439</v>
      </c>
      <c r="BH55" s="51">
        <f t="shared" si="30"/>
        <v>24185.708226124778</v>
      </c>
      <c r="BI55" s="51">
        <f t="shared" si="30"/>
        <v>25166.943190647708</v>
      </c>
    </row>
    <row r="56" spans="1:61" x14ac:dyDescent="0.25">
      <c r="A56" s="4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</row>
    <row r="57" spans="1:61" x14ac:dyDescent="0.25">
      <c r="A57" s="59" t="s">
        <v>200</v>
      </c>
      <c r="B57" s="44">
        <v>0.2</v>
      </c>
      <c r="C57" s="27">
        <f>B57*(1+B58)</f>
        <v>0.20019999999999999</v>
      </c>
      <c r="D57" s="27">
        <f t="shared" ref="D57:BI57" si="31">C57*(1+C58)</f>
        <v>0.20040019999999997</v>
      </c>
      <c r="E57" s="27">
        <f t="shared" si="31"/>
        <v>0.20060060019999995</v>
      </c>
      <c r="F57" s="27">
        <f t="shared" si="31"/>
        <v>0.20080120080019992</v>
      </c>
      <c r="G57" s="27">
        <f t="shared" si="31"/>
        <v>0.2010020020010001</v>
      </c>
      <c r="H57" s="27">
        <f t="shared" si="31"/>
        <v>0.20120300400300109</v>
      </c>
      <c r="I57" s="27">
        <f t="shared" si="31"/>
        <v>0.20140420700700407</v>
      </c>
      <c r="J57" s="27">
        <f t="shared" si="31"/>
        <v>0.20160561121401105</v>
      </c>
      <c r="K57" s="27">
        <f t="shared" si="31"/>
        <v>0.20180721682522504</v>
      </c>
      <c r="L57" s="27">
        <f t="shared" si="31"/>
        <v>0.20200902404205023</v>
      </c>
      <c r="M57" s="27">
        <f t="shared" si="31"/>
        <v>0.20221103306609226</v>
      </c>
      <c r="N57" s="27">
        <f t="shared" si="31"/>
        <v>0.20241324409915831</v>
      </c>
      <c r="O57" s="27">
        <f t="shared" si="31"/>
        <v>0.20261565734325745</v>
      </c>
      <c r="P57" s="27">
        <f t="shared" si="31"/>
        <v>0.20281827300060068</v>
      </c>
      <c r="Q57" s="27">
        <f t="shared" si="31"/>
        <v>0.20302109127360127</v>
      </c>
      <c r="R57" s="27">
        <f t="shared" si="31"/>
        <v>0.20322411236487484</v>
      </c>
      <c r="S57" s="27">
        <f t="shared" si="31"/>
        <v>0.20342733647723968</v>
      </c>
      <c r="T57" s="27">
        <f t="shared" si="31"/>
        <v>0.20363076381371689</v>
      </c>
      <c r="U57" s="27">
        <f t="shared" si="31"/>
        <v>0.20383439457753058</v>
      </c>
      <c r="V57" s="27">
        <f t="shared" si="31"/>
        <v>0.20403822897210808</v>
      </c>
      <c r="W57" s="27">
        <f t="shared" si="31"/>
        <v>0.20424226720108016</v>
      </c>
      <c r="X57" s="27">
        <f t="shared" si="31"/>
        <v>0.20444650946828122</v>
      </c>
      <c r="Y57" s="27">
        <f t="shared" si="31"/>
        <v>0.20465095597774949</v>
      </c>
      <c r="Z57" s="27">
        <f t="shared" si="31"/>
        <v>0.2048556069337272</v>
      </c>
      <c r="AA57" s="27">
        <f t="shared" si="31"/>
        <v>0.2050604625406609</v>
      </c>
      <c r="AB57" s="27">
        <f t="shared" si="31"/>
        <v>0.20526552300320156</v>
      </c>
      <c r="AC57" s="27">
        <f t="shared" si="31"/>
        <v>0.20547078852620473</v>
      </c>
      <c r="AD57" s="27">
        <f t="shared" si="31"/>
        <v>0.20567625931473091</v>
      </c>
      <c r="AE57" s="27">
        <f t="shared" si="31"/>
        <v>0.2058819355740456</v>
      </c>
      <c r="AF57" s="27">
        <f t="shared" si="31"/>
        <v>0.20608781750961963</v>
      </c>
      <c r="AG57" s="27">
        <f t="shared" si="31"/>
        <v>0.20629390532712924</v>
      </c>
      <c r="AH57" s="27">
        <f t="shared" si="31"/>
        <v>0.20650019923245636</v>
      </c>
      <c r="AI57" s="27">
        <f t="shared" si="31"/>
        <v>0.20670669943168879</v>
      </c>
      <c r="AJ57" s="27">
        <f t="shared" si="31"/>
        <v>0.20691340613112044</v>
      </c>
      <c r="AK57" s="27">
        <f t="shared" si="31"/>
        <v>0.20712031953725155</v>
      </c>
      <c r="AL57" s="27">
        <f t="shared" si="31"/>
        <v>0.20732743985678878</v>
      </c>
      <c r="AM57" s="27">
        <f t="shared" si="31"/>
        <v>0.20753476729664555</v>
      </c>
      <c r="AN57" s="27">
        <f t="shared" si="31"/>
        <v>0.20774230206394217</v>
      </c>
      <c r="AO57" s="27">
        <f t="shared" si="31"/>
        <v>0.20795004436600609</v>
      </c>
      <c r="AP57" s="27">
        <f t="shared" si="31"/>
        <v>0.20815799441037208</v>
      </c>
      <c r="AQ57" s="27">
        <f t="shared" si="31"/>
        <v>0.20836615240478243</v>
      </c>
      <c r="AR57" s="27">
        <f t="shared" si="31"/>
        <v>0.2085745185571872</v>
      </c>
      <c r="AS57" s="27">
        <f t="shared" si="31"/>
        <v>0.20878309307574436</v>
      </c>
      <c r="AT57" s="27">
        <f t="shared" si="31"/>
        <v>0.20899187616882009</v>
      </c>
      <c r="AU57" s="27">
        <f t="shared" si="31"/>
        <v>0.20920086804498889</v>
      </c>
      <c r="AV57" s="27">
        <f t="shared" si="31"/>
        <v>0.20941006891303385</v>
      </c>
      <c r="AW57" s="27">
        <f t="shared" si="31"/>
        <v>0.20961947898194686</v>
      </c>
      <c r="AX57" s="27">
        <f t="shared" si="31"/>
        <v>0.20982909846092879</v>
      </c>
      <c r="AY57" s="27">
        <f t="shared" si="31"/>
        <v>0.21003892755938969</v>
      </c>
      <c r="AZ57" s="27">
        <f t="shared" si="31"/>
        <v>0.21024896648694905</v>
      </c>
      <c r="BA57" s="27">
        <f t="shared" si="31"/>
        <v>0.21045921545343596</v>
      </c>
      <c r="BB57" s="27">
        <f t="shared" si="31"/>
        <v>0.21066967466888936</v>
      </c>
      <c r="BC57" s="27">
        <f t="shared" si="31"/>
        <v>0.21088034434355823</v>
      </c>
      <c r="BD57" s="27">
        <f t="shared" si="31"/>
        <v>0.21109122468790176</v>
      </c>
      <c r="BE57" s="27">
        <f t="shared" si="31"/>
        <v>0.21130231591258963</v>
      </c>
      <c r="BF57" s="27">
        <f t="shared" si="31"/>
        <v>0.2115136182285022</v>
      </c>
      <c r="BG57" s="27">
        <f t="shared" si="31"/>
        <v>0.2117251318467307</v>
      </c>
      <c r="BH57" s="27">
        <f t="shared" si="31"/>
        <v>0.21193685697857739</v>
      </c>
      <c r="BI57" s="27">
        <f t="shared" si="31"/>
        <v>0.21214879383555596</v>
      </c>
    </row>
    <row r="58" spans="1:61" x14ac:dyDescent="0.25">
      <c r="A58" s="59" t="s">
        <v>162</v>
      </c>
      <c r="B58" s="18">
        <v>1E-3</v>
      </c>
      <c r="C58" s="18">
        <v>1E-3</v>
      </c>
      <c r="D58" s="18">
        <v>1E-3</v>
      </c>
      <c r="E58" s="18">
        <v>1E-3</v>
      </c>
      <c r="F58" s="18">
        <v>1E-3</v>
      </c>
      <c r="G58" s="18">
        <v>1E-3</v>
      </c>
      <c r="H58" s="18">
        <v>1E-3</v>
      </c>
      <c r="I58" s="18">
        <v>1E-3</v>
      </c>
      <c r="J58" s="18">
        <v>1E-3</v>
      </c>
      <c r="K58" s="18">
        <v>1E-3</v>
      </c>
      <c r="L58" s="18">
        <v>1E-3</v>
      </c>
      <c r="M58" s="18">
        <v>1E-3</v>
      </c>
      <c r="N58" s="18">
        <v>1E-3</v>
      </c>
      <c r="O58" s="18">
        <v>1E-3</v>
      </c>
      <c r="P58" s="18">
        <v>1E-3</v>
      </c>
      <c r="Q58" s="18">
        <v>1E-3</v>
      </c>
      <c r="R58" s="18">
        <v>1E-3</v>
      </c>
      <c r="S58" s="18">
        <v>1E-3</v>
      </c>
      <c r="T58" s="18">
        <v>1E-3</v>
      </c>
      <c r="U58" s="18">
        <v>1E-3</v>
      </c>
      <c r="V58" s="18">
        <v>1E-3</v>
      </c>
      <c r="W58" s="18">
        <v>1E-3</v>
      </c>
      <c r="X58" s="18">
        <v>1E-3</v>
      </c>
      <c r="Y58" s="18">
        <v>1E-3</v>
      </c>
      <c r="Z58" s="18">
        <v>1E-3</v>
      </c>
      <c r="AA58" s="18">
        <v>1E-3</v>
      </c>
      <c r="AB58" s="18">
        <v>1E-3</v>
      </c>
      <c r="AC58" s="18">
        <v>1E-3</v>
      </c>
      <c r="AD58" s="18">
        <v>1E-3</v>
      </c>
      <c r="AE58" s="18">
        <v>1E-3</v>
      </c>
      <c r="AF58" s="18">
        <v>1E-3</v>
      </c>
      <c r="AG58" s="18">
        <v>1E-3</v>
      </c>
      <c r="AH58" s="18">
        <v>1E-3</v>
      </c>
      <c r="AI58" s="18">
        <v>1E-3</v>
      </c>
      <c r="AJ58" s="18">
        <v>1E-3</v>
      </c>
      <c r="AK58" s="18">
        <v>1E-3</v>
      </c>
      <c r="AL58" s="18">
        <v>1E-3</v>
      </c>
      <c r="AM58" s="18">
        <v>1E-3</v>
      </c>
      <c r="AN58" s="18">
        <v>1E-3</v>
      </c>
      <c r="AO58" s="18">
        <v>1E-3</v>
      </c>
      <c r="AP58" s="18">
        <v>1E-3</v>
      </c>
      <c r="AQ58" s="18">
        <v>1E-3</v>
      </c>
      <c r="AR58" s="18">
        <v>1E-3</v>
      </c>
      <c r="AS58" s="18">
        <v>1E-3</v>
      </c>
      <c r="AT58" s="18">
        <v>1E-3</v>
      </c>
      <c r="AU58" s="18">
        <v>1E-3</v>
      </c>
      <c r="AV58" s="18">
        <v>1E-3</v>
      </c>
      <c r="AW58" s="18">
        <v>1E-3</v>
      </c>
      <c r="AX58" s="18">
        <v>1E-3</v>
      </c>
      <c r="AY58" s="18">
        <v>1E-3</v>
      </c>
      <c r="AZ58" s="18">
        <v>1E-3</v>
      </c>
      <c r="BA58" s="18">
        <v>1E-3</v>
      </c>
      <c r="BB58" s="18">
        <v>1E-3</v>
      </c>
      <c r="BC58" s="18">
        <v>1E-3</v>
      </c>
      <c r="BD58" s="18">
        <v>1E-3</v>
      </c>
      <c r="BE58" s="18">
        <v>1E-3</v>
      </c>
      <c r="BF58" s="18">
        <v>1E-3</v>
      </c>
      <c r="BG58" s="18">
        <v>1E-3</v>
      </c>
      <c r="BH58" s="18">
        <v>1E-3</v>
      </c>
      <c r="BI58" s="18">
        <v>1E-3</v>
      </c>
    </row>
    <row r="59" spans="1:61" s="47" customFormat="1" x14ac:dyDescent="0.25">
      <c r="A59" s="64" t="s">
        <v>201</v>
      </c>
      <c r="B59" s="52">
        <f>B55*B57</f>
        <v>0</v>
      </c>
      <c r="C59" s="52">
        <f t="shared" ref="C59:BI59" si="32">C55*C57</f>
        <v>0</v>
      </c>
      <c r="D59" s="52">
        <f t="shared" si="32"/>
        <v>0</v>
      </c>
      <c r="E59" s="52">
        <f t="shared" si="32"/>
        <v>30.770867417296561</v>
      </c>
      <c r="F59" s="52">
        <f t="shared" si="32"/>
        <v>62.662933826242963</v>
      </c>
      <c r="G59" s="52">
        <f t="shared" si="32"/>
        <v>95.710269577887715</v>
      </c>
      <c r="H59" s="52">
        <f t="shared" si="32"/>
        <v>129.94806256693974</v>
      </c>
      <c r="I59" s="52">
        <f t="shared" si="32"/>
        <v>165.41266457817849</v>
      </c>
      <c r="J59" s="52">
        <f t="shared" si="32"/>
        <v>202.14164014163939</v>
      </c>
      <c r="K59" s="52">
        <f t="shared" si="32"/>
        <v>240.17381805823862</v>
      </c>
      <c r="L59" s="52">
        <f t="shared" si="32"/>
        <v>279.54934576878196</v>
      </c>
      <c r="M59" s="52">
        <f t="shared" si="32"/>
        <v>320.30974675139561</v>
      </c>
      <c r="N59" s="52">
        <f t="shared" si="32"/>
        <v>362.49798114537958</v>
      </c>
      <c r="O59" s="52">
        <f t="shared" si="32"/>
        <v>406.15850981338264</v>
      </c>
      <c r="P59" s="52">
        <f t="shared" si="32"/>
        <v>451.33736206869577</v>
      </c>
      <c r="Q59" s="52">
        <f t="shared" si="32"/>
        <v>498.08220731043951</v>
      </c>
      <c r="R59" s="52">
        <f t="shared" si="32"/>
        <v>546.44243082654305</v>
      </c>
      <c r="S59" s="52">
        <f t="shared" si="32"/>
        <v>596.46921404278532</v>
      </c>
      <c r="T59" s="52">
        <f t="shared" si="32"/>
        <v>648.21561951585568</v>
      </c>
      <c r="U59" s="52">
        <f t="shared" si="32"/>
        <v>701.73668098951384</v>
      </c>
      <c r="V59" s="52">
        <f t="shared" si="32"/>
        <v>757.08949885557092</v>
      </c>
      <c r="W59" s="52">
        <f t="shared" si="32"/>
        <v>814.33334138570535</v>
      </c>
      <c r="X59" s="52">
        <f t="shared" si="32"/>
        <v>873.52975212616195</v>
      </c>
      <c r="Y59" s="52">
        <f t="shared" si="32"/>
        <v>934.74266387532828</v>
      </c>
      <c r="Z59" s="52">
        <f t="shared" si="32"/>
        <v>998.0385196941279</v>
      </c>
      <c r="AA59" s="52">
        <f t="shared" si="32"/>
        <v>1063.48640143131</v>
      </c>
      <c r="AB59" s="52">
        <f t="shared" si="32"/>
        <v>1131.1581662801734</v>
      </c>
      <c r="AC59" s="52">
        <f t="shared" si="32"/>
        <v>1201.1285919202282</v>
      </c>
      <c r="AD59" s="52">
        <f t="shared" si="32"/>
        <v>1273.4755308369481</v>
      </c>
      <c r="AE59" s="52">
        <f t="shared" si="32"/>
        <v>1348.2800744552967</v>
      </c>
      <c r="AF59" s="52">
        <f t="shared" si="32"/>
        <v>1425.6267277683319</v>
      </c>
      <c r="AG59" s="52">
        <f t="shared" si="32"/>
        <v>1505.6035951911256</v>
      </c>
      <c r="AH59" s="52">
        <f t="shared" si="32"/>
        <v>1588.3025784227416</v>
      </c>
      <c r="AI59" s="52">
        <f t="shared" si="32"/>
        <v>1673.8195871553194</v>
      </c>
      <c r="AJ59" s="52">
        <f t="shared" si="32"/>
        <v>1762.2547635297321</v>
      </c>
      <c r="AK59" s="52">
        <f t="shared" si="32"/>
        <v>1853.7127213020926</v>
      </c>
      <c r="AL59" s="52">
        <f t="shared" si="32"/>
        <v>1948.3028007549174</v>
      </c>
      <c r="AM59" s="52">
        <f t="shared" si="32"/>
        <v>2046.1393404613361</v>
      </c>
      <c r="AN59" s="52">
        <f t="shared" si="32"/>
        <v>2147.3419670907856</v>
      </c>
      <c r="AO59" s="52">
        <f t="shared" si="32"/>
        <v>2252.0359045304549</v>
      </c>
      <c r="AP59" s="52">
        <f t="shared" si="32"/>
        <v>2360.3523036888828</v>
      </c>
      <c r="AQ59" s="52">
        <f t="shared" si="32"/>
        <v>2472.4285944469343</v>
      </c>
      <c r="AR59" s="52">
        <f t="shared" si="32"/>
        <v>2588.4088613274066</v>
      </c>
      <c r="AS59" s="52">
        <f t="shared" si="32"/>
        <v>2708.4442445682844</v>
      </c>
      <c r="AT59" s="52">
        <f t="shared" si="32"/>
        <v>2832.6933684067462</v>
      </c>
      <c r="AU59" s="52">
        <f t="shared" si="32"/>
        <v>2961.3227985119538</v>
      </c>
      <c r="AV59" s="52">
        <f t="shared" si="32"/>
        <v>3094.5075306452231</v>
      </c>
      <c r="AW59" s="52">
        <f t="shared" si="32"/>
        <v>3232.4315127769137</v>
      </c>
      <c r="AX59" s="52">
        <f t="shared" si="32"/>
        <v>3375.288203051186</v>
      </c>
      <c r="AY59" s="52">
        <f t="shared" si="32"/>
        <v>3523.2811661633518</v>
      </c>
      <c r="AZ59" s="52">
        <f t="shared" si="32"/>
        <v>3676.624710900815</v>
      </c>
      <c r="BA59" s="52">
        <f t="shared" si="32"/>
        <v>3835.5445717984526</v>
      </c>
      <c r="BB59" s="52">
        <f t="shared" si="32"/>
        <v>4000.2786380737762</v>
      </c>
      <c r="BC59" s="52">
        <f t="shared" si="32"/>
        <v>4171.0777332373054</v>
      </c>
      <c r="BD59" s="52">
        <f t="shared" si="32"/>
        <v>4348.2064490205339</v>
      </c>
      <c r="BE59" s="52">
        <f t="shared" si="32"/>
        <v>4531.9440375288568</v>
      </c>
      <c r="BF59" s="52">
        <f t="shared" si="32"/>
        <v>4722.5853658111273</v>
      </c>
      <c r="BG59" s="52">
        <f t="shared" si="32"/>
        <v>4920.4419373426499</v>
      </c>
      <c r="BH59" s="52">
        <f t="shared" si="32"/>
        <v>5125.8429852458094</v>
      </c>
      <c r="BI59" s="52">
        <f t="shared" si="32"/>
        <v>5339.1366424238695</v>
      </c>
    </row>
    <row r="60" spans="1:61" x14ac:dyDescent="0.25">
      <c r="A60" s="4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</row>
    <row r="62" spans="1:61" s="4" customFormat="1" x14ac:dyDescent="0.25">
      <c r="A62" s="4" t="s">
        <v>153</v>
      </c>
      <c r="B62" s="63">
        <f t="shared" ref="B62:AG62" si="33">B35</f>
        <v>0</v>
      </c>
      <c r="C62" s="63">
        <f t="shared" si="33"/>
        <v>0</v>
      </c>
      <c r="D62" s="63">
        <f t="shared" si="33"/>
        <v>0</v>
      </c>
      <c r="E62" s="63">
        <f t="shared" si="33"/>
        <v>756420.07840485335</v>
      </c>
      <c r="F62" s="63">
        <f t="shared" si="33"/>
        <v>766044.39537458599</v>
      </c>
      <c r="G62" s="63">
        <f t="shared" si="33"/>
        <v>775849.20411156677</v>
      </c>
      <c r="H62" s="63">
        <f t="shared" si="33"/>
        <v>785840.58798750117</v>
      </c>
      <c r="I62" s="63">
        <f t="shared" si="33"/>
        <v>796024.93492217374</v>
      </c>
      <c r="J62" s="63">
        <f t="shared" si="33"/>
        <v>806408.95501284103</v>
      </c>
      <c r="K62" s="63">
        <f t="shared" si="33"/>
        <v>816999.69923071284</v>
      </c>
      <c r="L62" s="63">
        <f t="shared" si="33"/>
        <v>827804.57925013825</v>
      </c>
      <c r="M62" s="63">
        <f t="shared" si="33"/>
        <v>838831.38848018786</v>
      </c>
      <c r="N62" s="63">
        <f t="shared" si="33"/>
        <v>850088.32437264081</v>
      </c>
      <c r="O62" s="63">
        <f t="shared" si="33"/>
        <v>861584.01208497211</v>
      </c>
      <c r="P62" s="63">
        <f t="shared" si="33"/>
        <v>873327.52958181791</v>
      </c>
      <c r="Q62" s="63">
        <f t="shared" si="33"/>
        <v>885328.43426357163</v>
      </c>
      <c r="R62" s="63">
        <f t="shared" si="33"/>
        <v>897596.79121627589</v>
      </c>
      <c r="S62" s="63">
        <f t="shared" si="33"/>
        <v>910143.20318281383</v>
      </c>
      <c r="T62" s="63">
        <f t="shared" si="33"/>
        <v>922978.84236162668</v>
      </c>
      <c r="U62" s="63">
        <f t="shared" si="33"/>
        <v>936115.48414577346</v>
      </c>
      <c r="V62" s="63">
        <f t="shared" si="33"/>
        <v>949565.54292218061</v>
      </c>
      <c r="W62" s="63">
        <f t="shared" si="33"/>
        <v>963342.11005836294</v>
      </c>
      <c r="X62" s="63">
        <f t="shared" si="33"/>
        <v>977458.99421183008</v>
      </c>
      <c r="Y62" s="63">
        <f t="shared" si="33"/>
        <v>991930.7641058024</v>
      </c>
      <c r="Z62" s="63">
        <f t="shared" si="33"/>
        <v>1006772.7939237964</v>
      </c>
      <c r="AA62" s="63">
        <f t="shared" si="33"/>
        <v>1022001.3114851539</v>
      </c>
      <c r="AB62" s="63">
        <f t="shared" si="33"/>
        <v>1037633.449373667</v>
      </c>
      <c r="AC62" s="63">
        <f t="shared" si="33"/>
        <v>1053687.2992021989</v>
      </c>
      <c r="AD62" s="63">
        <f t="shared" si="33"/>
        <v>1070181.9692075853</v>
      </c>
      <c r="AE62" s="63">
        <f t="shared" si="33"/>
        <v>1087137.6453822213</v>
      </c>
      <c r="AF62" s="63">
        <f t="shared" si="33"/>
        <v>1104575.656361626</v>
      </c>
      <c r="AG62" s="63">
        <f t="shared" si="33"/>
        <v>1122518.5423009391</v>
      </c>
      <c r="AH62" s="63">
        <f t="shared" ref="AH62:BI62" si="34">AH35</f>
        <v>1140990.1279878663</v>
      </c>
      <c r="AI62" s="63">
        <f t="shared" si="34"/>
        <v>1160015.6004550301</v>
      </c>
      <c r="AJ62" s="63">
        <f t="shared" si="34"/>
        <v>1179621.5913711197</v>
      </c>
      <c r="AK62" s="63">
        <f t="shared" si="34"/>
        <v>1199836.2645076837</v>
      </c>
      <c r="AL62" s="63">
        <f t="shared" si="34"/>
        <v>1220689.4085969687</v>
      </c>
      <c r="AM62" s="63">
        <f t="shared" si="34"/>
        <v>1242212.5359159256</v>
      </c>
      <c r="AN62" s="63">
        <f t="shared" si="34"/>
        <v>1264438.9869524711</v>
      </c>
      <c r="AO62" s="63">
        <f t="shared" si="34"/>
        <v>1287404.0415323726</v>
      </c>
      <c r="AP62" s="63">
        <f t="shared" si="34"/>
        <v>1311145.0368087951</v>
      </c>
      <c r="AQ62" s="63">
        <f t="shared" si="34"/>
        <v>1335701.4925417521</v>
      </c>
      <c r="AR62" s="63">
        <f t="shared" si="34"/>
        <v>1361115.2441214316</v>
      </c>
      <c r="AS62" s="63">
        <f t="shared" si="34"/>
        <v>1387430.583817827</v>
      </c>
      <c r="AT62" s="63">
        <f t="shared" si="34"/>
        <v>1414694.4107693569</v>
      </c>
      <c r="AU62" s="63">
        <f t="shared" si="34"/>
        <v>1442956.3902552729</v>
      </c>
      <c r="AV62" s="63">
        <f t="shared" si="34"/>
        <v>1472269.1228308608</v>
      </c>
      <c r="AW62" s="63">
        <f t="shared" si="34"/>
        <v>1502688.3239407423</v>
      </c>
      <c r="AX62" s="63">
        <f t="shared" si="34"/>
        <v>1534273.0146642369</v>
      </c>
      <c r="AY62" s="63">
        <f t="shared" si="34"/>
        <v>1567085.7242877791</v>
      </c>
      <c r="AZ62" s="63">
        <f t="shared" si="34"/>
        <v>1601192.7054430686</v>
      </c>
      <c r="BA62" s="63">
        <f t="shared" si="34"/>
        <v>1636664.1625960243</v>
      </c>
      <c r="BB62" s="63">
        <f t="shared" si="34"/>
        <v>1673574.4947209877</v>
      </c>
      <c r="BC62" s="63">
        <f t="shared" si="34"/>
        <v>1712002.5530470735</v>
      </c>
      <c r="BD62" s="63">
        <f t="shared" si="34"/>
        <v>1752031.9148193756</v>
      </c>
      <c r="BE62" s="63">
        <f t="shared" si="34"/>
        <v>1793751.1740770428</v>
      </c>
      <c r="BF62" s="63">
        <f t="shared" si="34"/>
        <v>1837254.2505133438</v>
      </c>
      <c r="BG62" s="63">
        <f t="shared" si="34"/>
        <v>1882640.7175498905</v>
      </c>
      <c r="BH62" s="63">
        <f t="shared" si="34"/>
        <v>1930016.1508285464</v>
      </c>
      <c r="BI62" s="63">
        <f t="shared" si="34"/>
        <v>1979492.4984003715</v>
      </c>
    </row>
    <row r="63" spans="1:61" s="4" customFormat="1" x14ac:dyDescent="0.25"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</row>
    <row r="64" spans="1:61" s="4" customFormat="1" x14ac:dyDescent="0.25"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</row>
    <row r="65" spans="1:61" x14ac:dyDescent="0.25">
      <c r="A65" t="s">
        <v>17</v>
      </c>
      <c r="B65">
        <v>1</v>
      </c>
      <c r="C65">
        <v>2</v>
      </c>
      <c r="D65">
        <v>3</v>
      </c>
      <c r="E65">
        <v>4</v>
      </c>
      <c r="F65">
        <v>5</v>
      </c>
      <c r="G65">
        <v>6</v>
      </c>
      <c r="H65">
        <v>7</v>
      </c>
      <c r="I65">
        <v>8</v>
      </c>
      <c r="J65">
        <v>9</v>
      </c>
      <c r="K65">
        <v>10</v>
      </c>
      <c r="L65">
        <v>11</v>
      </c>
      <c r="M65">
        <v>12</v>
      </c>
      <c r="N65">
        <v>13</v>
      </c>
      <c r="O65">
        <v>14</v>
      </c>
      <c r="P65">
        <v>15</v>
      </c>
      <c r="Q65">
        <v>16</v>
      </c>
      <c r="R65">
        <v>17</v>
      </c>
      <c r="S65">
        <v>18</v>
      </c>
      <c r="T65">
        <v>19</v>
      </c>
      <c r="U65">
        <v>20</v>
      </c>
      <c r="V65">
        <v>21</v>
      </c>
      <c r="W65">
        <v>22</v>
      </c>
      <c r="X65">
        <v>23</v>
      </c>
      <c r="Y65">
        <v>24</v>
      </c>
      <c r="Z65">
        <v>25</v>
      </c>
      <c r="AA65">
        <v>26</v>
      </c>
      <c r="AB65">
        <v>27</v>
      </c>
      <c r="AC65">
        <v>28</v>
      </c>
      <c r="AD65">
        <v>29</v>
      </c>
      <c r="AE65">
        <v>30</v>
      </c>
      <c r="AF65">
        <v>31</v>
      </c>
      <c r="AG65">
        <v>32</v>
      </c>
      <c r="AH65">
        <v>33</v>
      </c>
      <c r="AI65">
        <v>34</v>
      </c>
      <c r="AJ65">
        <v>35</v>
      </c>
      <c r="AK65">
        <v>36</v>
      </c>
      <c r="AL65">
        <v>37</v>
      </c>
      <c r="AM65">
        <v>38</v>
      </c>
      <c r="AN65">
        <v>39</v>
      </c>
      <c r="AO65">
        <v>40</v>
      </c>
      <c r="AP65">
        <v>41</v>
      </c>
      <c r="AQ65">
        <v>42</v>
      </c>
      <c r="AR65">
        <v>43</v>
      </c>
      <c r="AS65">
        <v>44</v>
      </c>
      <c r="AT65">
        <v>45</v>
      </c>
      <c r="AU65">
        <v>46</v>
      </c>
      <c r="AV65">
        <v>47</v>
      </c>
      <c r="AW65">
        <v>48</v>
      </c>
      <c r="AX65">
        <v>49</v>
      </c>
      <c r="AY65">
        <v>50</v>
      </c>
      <c r="AZ65">
        <v>51</v>
      </c>
      <c r="BA65">
        <v>52</v>
      </c>
      <c r="BB65">
        <v>53</v>
      </c>
      <c r="BC65">
        <v>54</v>
      </c>
      <c r="BD65">
        <v>55</v>
      </c>
      <c r="BE65">
        <v>56</v>
      </c>
      <c r="BF65">
        <v>57</v>
      </c>
      <c r="BG65">
        <v>58</v>
      </c>
      <c r="BH65">
        <v>59</v>
      </c>
      <c r="BI65">
        <v>60</v>
      </c>
    </row>
    <row r="66" spans="1:61" x14ac:dyDescent="0.25"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</row>
    <row r="67" spans="1:61" x14ac:dyDescent="0.25">
      <c r="A67" s="59" t="s">
        <v>175</v>
      </c>
      <c r="B67" s="62">
        <v>50</v>
      </c>
      <c r="C67" s="51">
        <f>B67*(1+B68)</f>
        <v>49.5</v>
      </c>
      <c r="D67" s="51">
        <f t="shared" ref="D67:BI67" si="35">C67*(1+C68)</f>
        <v>49.005000000000003</v>
      </c>
      <c r="E67" s="51">
        <f t="shared" si="35"/>
        <v>48.514949999999999</v>
      </c>
      <c r="F67" s="51">
        <f t="shared" si="35"/>
        <v>48.0298005</v>
      </c>
      <c r="G67" s="51">
        <f t="shared" si="35"/>
        <v>47.549502494999999</v>
      </c>
      <c r="H67" s="51">
        <f t="shared" si="35"/>
        <v>47.074007470049999</v>
      </c>
      <c r="I67" s="51">
        <f t="shared" si="35"/>
        <v>46.603267395349498</v>
      </c>
      <c r="J67" s="51">
        <f t="shared" si="35"/>
        <v>46.137234721396005</v>
      </c>
      <c r="K67" s="51">
        <f t="shared" si="35"/>
        <v>45.675862374182046</v>
      </c>
      <c r="L67" s="51">
        <f t="shared" si="35"/>
        <v>45.219103750440226</v>
      </c>
      <c r="M67" s="51">
        <f t="shared" si="35"/>
        <v>44.76691271293582</v>
      </c>
      <c r="N67" s="51">
        <f t="shared" si="35"/>
        <v>44.319243585806461</v>
      </c>
      <c r="O67" s="51">
        <f t="shared" si="35"/>
        <v>44.319243585806461</v>
      </c>
      <c r="P67" s="51">
        <f t="shared" si="35"/>
        <v>44.319243585806461</v>
      </c>
      <c r="Q67" s="51">
        <f t="shared" si="35"/>
        <v>44.319243585806461</v>
      </c>
      <c r="R67" s="51">
        <f t="shared" si="35"/>
        <v>44.319243585806461</v>
      </c>
      <c r="S67" s="51">
        <f t="shared" si="35"/>
        <v>44.319243585806461</v>
      </c>
      <c r="T67" s="51">
        <f t="shared" si="35"/>
        <v>44.319243585806461</v>
      </c>
      <c r="U67" s="51">
        <f t="shared" si="35"/>
        <v>44.319243585806461</v>
      </c>
      <c r="V67" s="51">
        <f t="shared" si="35"/>
        <v>44.319243585806461</v>
      </c>
      <c r="W67" s="51">
        <f t="shared" si="35"/>
        <v>44.319243585806461</v>
      </c>
      <c r="X67" s="51">
        <f t="shared" si="35"/>
        <v>44.319243585806461</v>
      </c>
      <c r="Y67" s="51">
        <f t="shared" si="35"/>
        <v>44.319243585806461</v>
      </c>
      <c r="Z67" s="51">
        <f t="shared" si="35"/>
        <v>44.319243585806461</v>
      </c>
      <c r="AA67" s="51">
        <f t="shared" si="35"/>
        <v>44.319243585806461</v>
      </c>
      <c r="AB67" s="51">
        <f t="shared" si="35"/>
        <v>44.319243585806461</v>
      </c>
      <c r="AC67" s="51">
        <f t="shared" si="35"/>
        <v>44.319243585806461</v>
      </c>
      <c r="AD67" s="51">
        <f t="shared" si="35"/>
        <v>44.319243585806461</v>
      </c>
      <c r="AE67" s="51">
        <f t="shared" si="35"/>
        <v>44.319243585806461</v>
      </c>
      <c r="AF67" s="51">
        <f t="shared" si="35"/>
        <v>44.319243585806461</v>
      </c>
      <c r="AG67" s="51">
        <f t="shared" si="35"/>
        <v>44.319243585806461</v>
      </c>
      <c r="AH67" s="51">
        <f t="shared" si="35"/>
        <v>44.319243585806461</v>
      </c>
      <c r="AI67" s="51">
        <f t="shared" si="35"/>
        <v>44.319243585806461</v>
      </c>
      <c r="AJ67" s="51">
        <f t="shared" si="35"/>
        <v>44.319243585806461</v>
      </c>
      <c r="AK67" s="51">
        <f t="shared" si="35"/>
        <v>44.319243585806461</v>
      </c>
      <c r="AL67" s="51">
        <f t="shared" si="35"/>
        <v>44.319243585806461</v>
      </c>
      <c r="AM67" s="51">
        <f t="shared" si="35"/>
        <v>44.319243585806461</v>
      </c>
      <c r="AN67" s="51">
        <f t="shared" si="35"/>
        <v>44.319243585806461</v>
      </c>
      <c r="AO67" s="51">
        <f t="shared" si="35"/>
        <v>44.319243585806461</v>
      </c>
      <c r="AP67" s="51">
        <f t="shared" si="35"/>
        <v>44.319243585806461</v>
      </c>
      <c r="AQ67" s="51">
        <f t="shared" si="35"/>
        <v>44.319243585806461</v>
      </c>
      <c r="AR67" s="51">
        <f t="shared" si="35"/>
        <v>44.319243585806461</v>
      </c>
      <c r="AS67" s="51">
        <f t="shared" si="35"/>
        <v>44.319243585806461</v>
      </c>
      <c r="AT67" s="51">
        <f t="shared" si="35"/>
        <v>44.319243585806461</v>
      </c>
      <c r="AU67" s="51">
        <f t="shared" si="35"/>
        <v>44.319243585806461</v>
      </c>
      <c r="AV67" s="51">
        <f t="shared" si="35"/>
        <v>44.319243585806461</v>
      </c>
      <c r="AW67" s="51">
        <f t="shared" si="35"/>
        <v>44.319243585806461</v>
      </c>
      <c r="AX67" s="51">
        <f t="shared" si="35"/>
        <v>44.319243585806461</v>
      </c>
      <c r="AY67" s="51">
        <f t="shared" si="35"/>
        <v>44.319243585806461</v>
      </c>
      <c r="AZ67" s="51">
        <f t="shared" si="35"/>
        <v>44.319243585806461</v>
      </c>
      <c r="BA67" s="51">
        <f t="shared" si="35"/>
        <v>44.319243585806461</v>
      </c>
      <c r="BB67" s="51">
        <f t="shared" si="35"/>
        <v>44.319243585806461</v>
      </c>
      <c r="BC67" s="51">
        <f t="shared" si="35"/>
        <v>44.319243585806461</v>
      </c>
      <c r="BD67" s="51">
        <f t="shared" si="35"/>
        <v>44.319243585806461</v>
      </c>
      <c r="BE67" s="51">
        <f t="shared" si="35"/>
        <v>44.319243585806461</v>
      </c>
      <c r="BF67" s="51">
        <f t="shared" si="35"/>
        <v>44.319243585806461</v>
      </c>
      <c r="BG67" s="51">
        <f t="shared" si="35"/>
        <v>44.319243585806461</v>
      </c>
      <c r="BH67" s="51">
        <f t="shared" si="35"/>
        <v>44.319243585806461</v>
      </c>
      <c r="BI67" s="51">
        <f t="shared" si="35"/>
        <v>44.319243585806461</v>
      </c>
    </row>
    <row r="68" spans="1:61" x14ac:dyDescent="0.25">
      <c r="A68" s="59" t="s">
        <v>162</v>
      </c>
      <c r="B68" s="50">
        <v>-0.01</v>
      </c>
      <c r="C68" s="50">
        <v>-0.01</v>
      </c>
      <c r="D68" s="50">
        <v>-0.01</v>
      </c>
      <c r="E68" s="50">
        <v>-0.01</v>
      </c>
      <c r="F68" s="50">
        <v>-0.01</v>
      </c>
      <c r="G68" s="50">
        <v>-0.01</v>
      </c>
      <c r="H68" s="50">
        <v>-0.01</v>
      </c>
      <c r="I68" s="50">
        <v>-0.01</v>
      </c>
      <c r="J68" s="50">
        <v>-0.01</v>
      </c>
      <c r="K68" s="50">
        <v>-0.01</v>
      </c>
      <c r="L68" s="50">
        <v>-0.01</v>
      </c>
      <c r="M68" s="50">
        <v>-0.01</v>
      </c>
      <c r="N68" s="50">
        <v>0</v>
      </c>
      <c r="O68" s="50">
        <v>0</v>
      </c>
      <c r="P68" s="50">
        <v>0</v>
      </c>
      <c r="Q68" s="50">
        <v>0</v>
      </c>
      <c r="R68" s="50">
        <v>0</v>
      </c>
      <c r="S68" s="50">
        <v>0</v>
      </c>
      <c r="T68" s="50">
        <v>0</v>
      </c>
      <c r="U68" s="50">
        <v>0</v>
      </c>
      <c r="V68" s="50">
        <v>0</v>
      </c>
      <c r="W68" s="50">
        <v>0</v>
      </c>
      <c r="X68" s="50">
        <v>0</v>
      </c>
      <c r="Y68" s="50">
        <v>0</v>
      </c>
      <c r="Z68" s="50">
        <v>0</v>
      </c>
      <c r="AA68" s="50">
        <v>0</v>
      </c>
      <c r="AB68" s="50">
        <v>0</v>
      </c>
      <c r="AC68" s="50">
        <v>0</v>
      </c>
      <c r="AD68" s="50">
        <v>0</v>
      </c>
      <c r="AE68" s="50">
        <v>0</v>
      </c>
      <c r="AF68" s="50">
        <v>0</v>
      </c>
      <c r="AG68" s="50">
        <v>0</v>
      </c>
      <c r="AH68" s="50">
        <v>0</v>
      </c>
      <c r="AI68" s="50">
        <v>0</v>
      </c>
      <c r="AJ68" s="50">
        <v>0</v>
      </c>
      <c r="AK68" s="50">
        <v>0</v>
      </c>
      <c r="AL68" s="50">
        <v>0</v>
      </c>
      <c r="AM68" s="50">
        <v>0</v>
      </c>
      <c r="AN68" s="50">
        <v>0</v>
      </c>
      <c r="AO68" s="50">
        <v>0</v>
      </c>
      <c r="AP68" s="50">
        <v>0</v>
      </c>
      <c r="AQ68" s="50">
        <v>0</v>
      </c>
      <c r="AR68" s="50">
        <v>0</v>
      </c>
      <c r="AS68" s="50">
        <v>0</v>
      </c>
      <c r="AT68" s="50">
        <v>0</v>
      </c>
      <c r="AU68" s="50">
        <v>0</v>
      </c>
      <c r="AV68" s="50">
        <v>0</v>
      </c>
      <c r="AW68" s="50">
        <v>0</v>
      </c>
      <c r="AX68" s="50">
        <v>0</v>
      </c>
      <c r="AY68" s="50">
        <v>0</v>
      </c>
      <c r="AZ68" s="50">
        <v>0</v>
      </c>
      <c r="BA68" s="50">
        <v>0</v>
      </c>
      <c r="BB68" s="50">
        <v>0</v>
      </c>
      <c r="BC68" s="50">
        <v>0</v>
      </c>
      <c r="BD68" s="50">
        <v>0</v>
      </c>
      <c r="BE68" s="50">
        <v>0</v>
      </c>
      <c r="BF68" s="50">
        <v>0</v>
      </c>
      <c r="BG68" s="50">
        <v>0</v>
      </c>
      <c r="BH68" s="50">
        <v>0</v>
      </c>
      <c r="BI68" s="50">
        <v>0</v>
      </c>
    </row>
    <row r="69" spans="1:61" x14ac:dyDescent="0.25">
      <c r="A69" s="59" t="s">
        <v>176</v>
      </c>
      <c r="B69" s="62">
        <v>55</v>
      </c>
      <c r="C69" s="51">
        <f>B69*(1+B70)</f>
        <v>54.45</v>
      </c>
      <c r="D69" s="51">
        <f t="shared" ref="D69:BI69" si="36">C69*(1+C70)</f>
        <v>53.905500000000004</v>
      </c>
      <c r="E69" s="51">
        <f t="shared" si="36"/>
        <v>53.366445000000006</v>
      </c>
      <c r="F69" s="51">
        <f t="shared" si="36"/>
        <v>52.832780550000003</v>
      </c>
      <c r="G69" s="51">
        <f t="shared" si="36"/>
        <v>52.304452744500004</v>
      </c>
      <c r="H69" s="51">
        <f t="shared" si="36"/>
        <v>51.781408217055002</v>
      </c>
      <c r="I69" s="51">
        <f t="shared" si="36"/>
        <v>51.26359413488445</v>
      </c>
      <c r="J69" s="51">
        <f t="shared" si="36"/>
        <v>50.750958193535602</v>
      </c>
      <c r="K69" s="51">
        <f t="shared" si="36"/>
        <v>50.243448611600243</v>
      </c>
      <c r="L69" s="51">
        <f t="shared" si="36"/>
        <v>49.741014125484242</v>
      </c>
      <c r="M69" s="51">
        <f t="shared" si="36"/>
        <v>49.243603984229395</v>
      </c>
      <c r="N69" s="51">
        <f t="shared" si="36"/>
        <v>48.751167944387099</v>
      </c>
      <c r="O69" s="51">
        <f t="shared" si="36"/>
        <v>48.751167944387099</v>
      </c>
      <c r="P69" s="51">
        <f t="shared" si="36"/>
        <v>48.751167944387099</v>
      </c>
      <c r="Q69" s="51">
        <f t="shared" si="36"/>
        <v>48.751167944387099</v>
      </c>
      <c r="R69" s="51">
        <f t="shared" si="36"/>
        <v>48.751167944387099</v>
      </c>
      <c r="S69" s="51">
        <f t="shared" si="36"/>
        <v>48.751167944387099</v>
      </c>
      <c r="T69" s="51">
        <f t="shared" si="36"/>
        <v>48.751167944387099</v>
      </c>
      <c r="U69" s="51">
        <f t="shared" si="36"/>
        <v>48.751167944387099</v>
      </c>
      <c r="V69" s="51">
        <f t="shared" si="36"/>
        <v>48.751167944387099</v>
      </c>
      <c r="W69" s="51">
        <f t="shared" si="36"/>
        <v>48.751167944387099</v>
      </c>
      <c r="X69" s="51">
        <f t="shared" si="36"/>
        <v>48.751167944387099</v>
      </c>
      <c r="Y69" s="51">
        <f t="shared" si="36"/>
        <v>48.751167944387099</v>
      </c>
      <c r="Z69" s="51">
        <f t="shared" si="36"/>
        <v>48.751167944387099</v>
      </c>
      <c r="AA69" s="51">
        <f t="shared" si="36"/>
        <v>48.751167944387099</v>
      </c>
      <c r="AB69" s="51">
        <f t="shared" si="36"/>
        <v>48.751167944387099</v>
      </c>
      <c r="AC69" s="51">
        <f t="shared" si="36"/>
        <v>48.751167944387099</v>
      </c>
      <c r="AD69" s="51">
        <f t="shared" si="36"/>
        <v>48.751167944387099</v>
      </c>
      <c r="AE69" s="51">
        <f t="shared" si="36"/>
        <v>48.751167944387099</v>
      </c>
      <c r="AF69" s="51">
        <f t="shared" si="36"/>
        <v>48.751167944387099</v>
      </c>
      <c r="AG69" s="51">
        <f t="shared" si="36"/>
        <v>48.751167944387099</v>
      </c>
      <c r="AH69" s="51">
        <f t="shared" si="36"/>
        <v>48.751167944387099</v>
      </c>
      <c r="AI69" s="51">
        <f t="shared" si="36"/>
        <v>48.751167944387099</v>
      </c>
      <c r="AJ69" s="51">
        <f t="shared" si="36"/>
        <v>48.751167944387099</v>
      </c>
      <c r="AK69" s="51">
        <f t="shared" si="36"/>
        <v>48.751167944387099</v>
      </c>
      <c r="AL69" s="51">
        <f t="shared" si="36"/>
        <v>48.751167944387099</v>
      </c>
      <c r="AM69" s="51">
        <f t="shared" si="36"/>
        <v>48.751167944387099</v>
      </c>
      <c r="AN69" s="51">
        <f t="shared" si="36"/>
        <v>48.751167944387099</v>
      </c>
      <c r="AO69" s="51">
        <f t="shared" si="36"/>
        <v>48.751167944387099</v>
      </c>
      <c r="AP69" s="51">
        <f t="shared" si="36"/>
        <v>48.751167944387099</v>
      </c>
      <c r="AQ69" s="51">
        <f t="shared" si="36"/>
        <v>48.751167944387099</v>
      </c>
      <c r="AR69" s="51">
        <f t="shared" si="36"/>
        <v>48.751167944387099</v>
      </c>
      <c r="AS69" s="51">
        <f t="shared" si="36"/>
        <v>48.751167944387099</v>
      </c>
      <c r="AT69" s="51">
        <f t="shared" si="36"/>
        <v>48.751167944387099</v>
      </c>
      <c r="AU69" s="51">
        <f t="shared" si="36"/>
        <v>48.751167944387099</v>
      </c>
      <c r="AV69" s="51">
        <f t="shared" si="36"/>
        <v>48.751167944387099</v>
      </c>
      <c r="AW69" s="51">
        <f t="shared" si="36"/>
        <v>48.751167944387099</v>
      </c>
      <c r="AX69" s="51">
        <f t="shared" si="36"/>
        <v>48.751167944387099</v>
      </c>
      <c r="AY69" s="51">
        <f t="shared" si="36"/>
        <v>48.751167944387099</v>
      </c>
      <c r="AZ69" s="51">
        <f t="shared" si="36"/>
        <v>48.751167944387099</v>
      </c>
      <c r="BA69" s="51">
        <f t="shared" si="36"/>
        <v>48.751167944387099</v>
      </c>
      <c r="BB69" s="51">
        <f t="shared" si="36"/>
        <v>48.751167944387099</v>
      </c>
      <c r="BC69" s="51">
        <f t="shared" si="36"/>
        <v>48.751167944387099</v>
      </c>
      <c r="BD69" s="51">
        <f t="shared" si="36"/>
        <v>48.751167944387099</v>
      </c>
      <c r="BE69" s="51">
        <f t="shared" si="36"/>
        <v>48.751167944387099</v>
      </c>
      <c r="BF69" s="51">
        <f t="shared" si="36"/>
        <v>48.751167944387099</v>
      </c>
      <c r="BG69" s="51">
        <f t="shared" si="36"/>
        <v>48.751167944387099</v>
      </c>
      <c r="BH69" s="51">
        <f t="shared" si="36"/>
        <v>48.751167944387099</v>
      </c>
      <c r="BI69" s="51">
        <f t="shared" si="36"/>
        <v>48.751167944387099</v>
      </c>
    </row>
    <row r="70" spans="1:61" x14ac:dyDescent="0.25">
      <c r="A70" s="59" t="s">
        <v>162</v>
      </c>
      <c r="B70" s="50">
        <v>-0.01</v>
      </c>
      <c r="C70" s="50">
        <v>-0.01</v>
      </c>
      <c r="D70" s="50">
        <v>-0.01</v>
      </c>
      <c r="E70" s="50">
        <v>-0.01</v>
      </c>
      <c r="F70" s="50">
        <v>-0.01</v>
      </c>
      <c r="G70" s="50">
        <v>-0.01</v>
      </c>
      <c r="H70" s="50">
        <v>-0.01</v>
      </c>
      <c r="I70" s="50">
        <v>-0.01</v>
      </c>
      <c r="J70" s="50">
        <v>-0.01</v>
      </c>
      <c r="K70" s="50">
        <v>-0.01</v>
      </c>
      <c r="L70" s="50">
        <v>-0.01</v>
      </c>
      <c r="M70" s="50">
        <v>-0.01</v>
      </c>
      <c r="N70" s="50">
        <v>0</v>
      </c>
      <c r="O70" s="50">
        <v>0</v>
      </c>
      <c r="P70" s="50">
        <v>0</v>
      </c>
      <c r="Q70" s="50">
        <v>0</v>
      </c>
      <c r="R70" s="50">
        <v>0</v>
      </c>
      <c r="S70" s="50">
        <v>0</v>
      </c>
      <c r="T70" s="50">
        <v>0</v>
      </c>
      <c r="U70" s="50">
        <v>0</v>
      </c>
      <c r="V70" s="50">
        <v>0</v>
      </c>
      <c r="W70" s="50">
        <v>0</v>
      </c>
      <c r="X70" s="50">
        <v>0</v>
      </c>
      <c r="Y70" s="50">
        <v>0</v>
      </c>
      <c r="Z70" s="50">
        <v>0</v>
      </c>
      <c r="AA70" s="50">
        <v>0</v>
      </c>
      <c r="AB70" s="50">
        <v>0</v>
      </c>
      <c r="AC70" s="50">
        <v>0</v>
      </c>
      <c r="AD70" s="50">
        <v>0</v>
      </c>
      <c r="AE70" s="50">
        <v>0</v>
      </c>
      <c r="AF70" s="50">
        <v>0</v>
      </c>
      <c r="AG70" s="50">
        <v>0</v>
      </c>
      <c r="AH70" s="50">
        <v>0</v>
      </c>
      <c r="AI70" s="50">
        <v>0</v>
      </c>
      <c r="AJ70" s="50">
        <v>0</v>
      </c>
      <c r="AK70" s="50">
        <v>0</v>
      </c>
      <c r="AL70" s="50">
        <v>0</v>
      </c>
      <c r="AM70" s="50">
        <v>0</v>
      </c>
      <c r="AN70" s="50">
        <v>0</v>
      </c>
      <c r="AO70" s="50">
        <v>0</v>
      </c>
      <c r="AP70" s="50">
        <v>0</v>
      </c>
      <c r="AQ70" s="50">
        <v>0</v>
      </c>
      <c r="AR70" s="50">
        <v>0</v>
      </c>
      <c r="AS70" s="50">
        <v>0</v>
      </c>
      <c r="AT70" s="50">
        <v>0</v>
      </c>
      <c r="AU70" s="50">
        <v>0</v>
      </c>
      <c r="AV70" s="50">
        <v>0</v>
      </c>
      <c r="AW70" s="50">
        <v>0</v>
      </c>
      <c r="AX70" s="50">
        <v>0</v>
      </c>
      <c r="AY70" s="50">
        <v>0</v>
      </c>
      <c r="AZ70" s="50">
        <v>0</v>
      </c>
      <c r="BA70" s="50">
        <v>0</v>
      </c>
      <c r="BB70" s="50">
        <v>0</v>
      </c>
      <c r="BC70" s="50">
        <v>0</v>
      </c>
      <c r="BD70" s="50">
        <v>0</v>
      </c>
      <c r="BE70" s="50">
        <v>0</v>
      </c>
      <c r="BF70" s="50">
        <v>0</v>
      </c>
      <c r="BG70" s="50">
        <v>0</v>
      </c>
      <c r="BH70" s="50">
        <v>0</v>
      </c>
      <c r="BI70" s="50">
        <v>0</v>
      </c>
    </row>
    <row r="71" spans="1:61" x14ac:dyDescent="0.25">
      <c r="A71" s="59" t="s">
        <v>177</v>
      </c>
      <c r="B71" s="62">
        <v>65</v>
      </c>
      <c r="C71" s="51">
        <f>B71*(1+B72)</f>
        <v>64.349999999999994</v>
      </c>
      <c r="D71" s="51">
        <f t="shared" ref="D71:BI71" si="37">C71*(1+C72)</f>
        <v>63.706499999999991</v>
      </c>
      <c r="E71" s="51">
        <f t="shared" si="37"/>
        <v>63.069434999999991</v>
      </c>
      <c r="F71" s="51">
        <f t="shared" si="37"/>
        <v>62.438740649999993</v>
      </c>
      <c r="G71" s="51">
        <f t="shared" si="37"/>
        <v>61.814353243499994</v>
      </c>
      <c r="H71" s="51">
        <f t="shared" si="37"/>
        <v>61.196209711064995</v>
      </c>
      <c r="I71" s="51">
        <f t="shared" si="37"/>
        <v>60.584247613954346</v>
      </c>
      <c r="J71" s="51">
        <f t="shared" si="37"/>
        <v>59.978405137814804</v>
      </c>
      <c r="K71" s="51">
        <f t="shared" si="37"/>
        <v>59.378621086436652</v>
      </c>
      <c r="L71" s="51">
        <f t="shared" si="37"/>
        <v>58.784834875572287</v>
      </c>
      <c r="M71" s="51">
        <f t="shared" si="37"/>
        <v>58.196986526816566</v>
      </c>
      <c r="N71" s="51">
        <f t="shared" si="37"/>
        <v>57.615016661548403</v>
      </c>
      <c r="O71" s="51">
        <f t="shared" si="37"/>
        <v>57.615016661548403</v>
      </c>
      <c r="P71" s="51">
        <f t="shared" si="37"/>
        <v>57.615016661548403</v>
      </c>
      <c r="Q71" s="51">
        <f t="shared" si="37"/>
        <v>57.615016661548403</v>
      </c>
      <c r="R71" s="51">
        <f t="shared" si="37"/>
        <v>57.615016661548403</v>
      </c>
      <c r="S71" s="51">
        <f t="shared" si="37"/>
        <v>57.615016661548403</v>
      </c>
      <c r="T71" s="51">
        <f t="shared" si="37"/>
        <v>57.615016661548403</v>
      </c>
      <c r="U71" s="51">
        <f t="shared" si="37"/>
        <v>57.615016661548403</v>
      </c>
      <c r="V71" s="51">
        <f t="shared" si="37"/>
        <v>57.615016661548403</v>
      </c>
      <c r="W71" s="51">
        <f t="shared" si="37"/>
        <v>57.615016661548403</v>
      </c>
      <c r="X71" s="51">
        <f t="shared" si="37"/>
        <v>57.615016661548403</v>
      </c>
      <c r="Y71" s="51">
        <f t="shared" si="37"/>
        <v>57.615016661548403</v>
      </c>
      <c r="Z71" s="51">
        <f t="shared" si="37"/>
        <v>57.615016661548403</v>
      </c>
      <c r="AA71" s="51">
        <f t="shared" si="37"/>
        <v>57.615016661548403</v>
      </c>
      <c r="AB71" s="51">
        <f t="shared" si="37"/>
        <v>57.615016661548403</v>
      </c>
      <c r="AC71" s="51">
        <f t="shared" si="37"/>
        <v>57.615016661548403</v>
      </c>
      <c r="AD71" s="51">
        <f t="shared" si="37"/>
        <v>57.615016661548403</v>
      </c>
      <c r="AE71" s="51">
        <f t="shared" si="37"/>
        <v>57.615016661548403</v>
      </c>
      <c r="AF71" s="51">
        <f t="shared" si="37"/>
        <v>57.615016661548403</v>
      </c>
      <c r="AG71" s="51">
        <f t="shared" si="37"/>
        <v>57.615016661548403</v>
      </c>
      <c r="AH71" s="51">
        <f t="shared" si="37"/>
        <v>57.615016661548403</v>
      </c>
      <c r="AI71" s="51">
        <f t="shared" si="37"/>
        <v>57.615016661548403</v>
      </c>
      <c r="AJ71" s="51">
        <f t="shared" si="37"/>
        <v>57.615016661548403</v>
      </c>
      <c r="AK71" s="51">
        <f t="shared" si="37"/>
        <v>57.615016661548403</v>
      </c>
      <c r="AL71" s="51">
        <f t="shared" si="37"/>
        <v>57.615016661548403</v>
      </c>
      <c r="AM71" s="51">
        <f t="shared" si="37"/>
        <v>57.615016661548403</v>
      </c>
      <c r="AN71" s="51">
        <f t="shared" si="37"/>
        <v>57.615016661548403</v>
      </c>
      <c r="AO71" s="51">
        <f t="shared" si="37"/>
        <v>57.615016661548403</v>
      </c>
      <c r="AP71" s="51">
        <f t="shared" si="37"/>
        <v>57.615016661548403</v>
      </c>
      <c r="AQ71" s="51">
        <f t="shared" si="37"/>
        <v>57.615016661548403</v>
      </c>
      <c r="AR71" s="51">
        <f t="shared" si="37"/>
        <v>57.615016661548403</v>
      </c>
      <c r="AS71" s="51">
        <f t="shared" si="37"/>
        <v>57.615016661548403</v>
      </c>
      <c r="AT71" s="51">
        <f t="shared" si="37"/>
        <v>57.615016661548403</v>
      </c>
      <c r="AU71" s="51">
        <f t="shared" si="37"/>
        <v>57.615016661548403</v>
      </c>
      <c r="AV71" s="51">
        <f t="shared" si="37"/>
        <v>57.615016661548403</v>
      </c>
      <c r="AW71" s="51">
        <f t="shared" si="37"/>
        <v>57.615016661548403</v>
      </c>
      <c r="AX71" s="51">
        <f t="shared" si="37"/>
        <v>57.615016661548403</v>
      </c>
      <c r="AY71" s="51">
        <f t="shared" si="37"/>
        <v>57.615016661548403</v>
      </c>
      <c r="AZ71" s="51">
        <f t="shared" si="37"/>
        <v>57.615016661548403</v>
      </c>
      <c r="BA71" s="51">
        <f t="shared" si="37"/>
        <v>57.615016661548403</v>
      </c>
      <c r="BB71" s="51">
        <f t="shared" si="37"/>
        <v>57.615016661548403</v>
      </c>
      <c r="BC71" s="51">
        <f t="shared" si="37"/>
        <v>57.615016661548403</v>
      </c>
      <c r="BD71" s="51">
        <f t="shared" si="37"/>
        <v>57.615016661548403</v>
      </c>
      <c r="BE71" s="51">
        <f t="shared" si="37"/>
        <v>57.615016661548403</v>
      </c>
      <c r="BF71" s="51">
        <f t="shared" si="37"/>
        <v>57.615016661548403</v>
      </c>
      <c r="BG71" s="51">
        <f t="shared" si="37"/>
        <v>57.615016661548403</v>
      </c>
      <c r="BH71" s="51">
        <f t="shared" si="37"/>
        <v>57.615016661548403</v>
      </c>
      <c r="BI71" s="51">
        <f t="shared" si="37"/>
        <v>57.615016661548403</v>
      </c>
    </row>
    <row r="72" spans="1:61" x14ac:dyDescent="0.25">
      <c r="A72" s="59" t="s">
        <v>162</v>
      </c>
      <c r="B72" s="50">
        <v>-0.01</v>
      </c>
      <c r="C72" s="50">
        <v>-0.01</v>
      </c>
      <c r="D72" s="50">
        <v>-0.01</v>
      </c>
      <c r="E72" s="50">
        <v>-0.01</v>
      </c>
      <c r="F72" s="50">
        <v>-0.01</v>
      </c>
      <c r="G72" s="50">
        <v>-0.01</v>
      </c>
      <c r="H72" s="50">
        <v>-0.01</v>
      </c>
      <c r="I72" s="50">
        <v>-0.01</v>
      </c>
      <c r="J72" s="50">
        <v>-0.01</v>
      </c>
      <c r="K72" s="50">
        <v>-0.01</v>
      </c>
      <c r="L72" s="50">
        <v>-0.01</v>
      </c>
      <c r="M72" s="50">
        <v>-0.01</v>
      </c>
      <c r="N72" s="50">
        <v>0</v>
      </c>
      <c r="O72" s="50">
        <v>0</v>
      </c>
      <c r="P72" s="50">
        <v>0</v>
      </c>
      <c r="Q72" s="50">
        <v>0</v>
      </c>
      <c r="R72" s="50">
        <v>0</v>
      </c>
      <c r="S72" s="50">
        <v>0</v>
      </c>
      <c r="T72" s="50">
        <v>0</v>
      </c>
      <c r="U72" s="50">
        <v>0</v>
      </c>
      <c r="V72" s="50">
        <v>0</v>
      </c>
      <c r="W72" s="50">
        <v>0</v>
      </c>
      <c r="X72" s="50">
        <v>0</v>
      </c>
      <c r="Y72" s="50">
        <v>0</v>
      </c>
      <c r="Z72" s="50">
        <v>0</v>
      </c>
      <c r="AA72" s="50">
        <v>0</v>
      </c>
      <c r="AB72" s="50">
        <v>0</v>
      </c>
      <c r="AC72" s="50">
        <v>0</v>
      </c>
      <c r="AD72" s="50">
        <v>0</v>
      </c>
      <c r="AE72" s="50">
        <v>0</v>
      </c>
      <c r="AF72" s="50">
        <v>0</v>
      </c>
      <c r="AG72" s="50">
        <v>0</v>
      </c>
      <c r="AH72" s="50">
        <v>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50">
        <v>0</v>
      </c>
      <c r="AP72" s="50">
        <v>0</v>
      </c>
      <c r="AQ72" s="50">
        <v>0</v>
      </c>
      <c r="AR72" s="50">
        <v>0</v>
      </c>
      <c r="AS72" s="50">
        <v>0</v>
      </c>
      <c r="AT72" s="50">
        <v>0</v>
      </c>
      <c r="AU72" s="50">
        <v>0</v>
      </c>
      <c r="AV72" s="50">
        <v>0</v>
      </c>
      <c r="AW72" s="50">
        <v>0</v>
      </c>
      <c r="AX72" s="50">
        <v>0</v>
      </c>
      <c r="AY72" s="50">
        <v>0</v>
      </c>
      <c r="AZ72" s="50">
        <v>0</v>
      </c>
      <c r="BA72" s="50">
        <v>0</v>
      </c>
      <c r="BB72" s="50">
        <v>0</v>
      </c>
      <c r="BC72" s="50">
        <v>0</v>
      </c>
      <c r="BD72" s="50">
        <v>0</v>
      </c>
      <c r="BE72" s="50">
        <v>0</v>
      </c>
      <c r="BF72" s="50">
        <v>0</v>
      </c>
      <c r="BG72" s="50">
        <v>0</v>
      </c>
      <c r="BH72" s="50">
        <v>0</v>
      </c>
      <c r="BI72" s="50">
        <v>0</v>
      </c>
    </row>
    <row r="74" spans="1:61" x14ac:dyDescent="0.25">
      <c r="A74" s="30" t="s">
        <v>158</v>
      </c>
      <c r="B74" s="51">
        <f t="shared" ref="B74:AG74" si="38">(B67*B22)+(B69*B27)+(B71*B32)</f>
        <v>0</v>
      </c>
      <c r="C74" s="51">
        <f t="shared" si="38"/>
        <v>0</v>
      </c>
      <c r="D74" s="51">
        <f t="shared" si="38"/>
        <v>0</v>
      </c>
      <c r="E74" s="51">
        <f t="shared" si="38"/>
        <v>16580.184638621115</v>
      </c>
      <c r="F74" s="51">
        <f t="shared" si="38"/>
        <v>16621.205585524356</v>
      </c>
      <c r="G74" s="51">
        <f t="shared" si="38"/>
        <v>16663.544223152647</v>
      </c>
      <c r="H74" s="51">
        <f t="shared" si="38"/>
        <v>16707.258544066921</v>
      </c>
      <c r="I74" s="51">
        <f t="shared" si="38"/>
        <v>16752.409380718054</v>
      </c>
      <c r="J74" s="51">
        <f t="shared" si="38"/>
        <v>16799.060548259207</v>
      </c>
      <c r="K74" s="51">
        <f t="shared" si="38"/>
        <v>16847.278994599423</v>
      </c>
      <c r="L74" s="51">
        <f t="shared" si="38"/>
        <v>16897.134958067334</v>
      </c>
      <c r="M74" s="51">
        <f t="shared" si="38"/>
        <v>16948.702133072722</v>
      </c>
      <c r="N74" s="51">
        <f t="shared" si="38"/>
        <v>17002.057844173571</v>
      </c>
      <c r="O74" s="51">
        <f t="shared" si="38"/>
        <v>17229.579019168621</v>
      </c>
      <c r="P74" s="51">
        <f t="shared" si="38"/>
        <v>17461.95636192643</v>
      </c>
      <c r="Q74" s="51">
        <f t="shared" si="38"/>
        <v>17699.376994342278</v>
      </c>
      <c r="R74" s="51">
        <f t="shared" si="38"/>
        <v>17942.037987538602</v>
      </c>
      <c r="S74" s="51">
        <f t="shared" si="38"/>
        <v>18190.14694789112</v>
      </c>
      <c r="T74" s="51">
        <f t="shared" si="38"/>
        <v>18443.922638601653</v>
      </c>
      <c r="U74" s="51">
        <f t="shared" si="38"/>
        <v>18703.59563899551</v>
      </c>
      <c r="V74" s="51">
        <f t="shared" si="38"/>
        <v>18969.409043855649</v>
      </c>
      <c r="W74" s="51">
        <f t="shared" si="38"/>
        <v>19241.619205247949</v>
      </c>
      <c r="X74" s="51">
        <f t="shared" si="38"/>
        <v>19520.496519443361</v>
      </c>
      <c r="Y74" s="51">
        <f t="shared" si="38"/>
        <v>19806.326261703114</v>
      </c>
      <c r="Z74" s="51">
        <f t="shared" si="38"/>
        <v>20099.40947186367</v>
      </c>
      <c r="AA74" s="51">
        <f t="shared" si="38"/>
        <v>20400.063893839171</v>
      </c>
      <c r="AB74" s="51">
        <f t="shared" si="38"/>
        <v>20708.62497235131</v>
      </c>
      <c r="AC74" s="51">
        <f t="shared" si="38"/>
        <v>21025.446910400693</v>
      </c>
      <c r="AD74" s="51">
        <f t="shared" si="38"/>
        <v>21350.903791210483</v>
      </c>
      <c r="AE74" s="51">
        <f t="shared" si="38"/>
        <v>21685.390768603273</v>
      </c>
      <c r="AF74" s="51">
        <f t="shared" si="38"/>
        <v>22029.325330016654</v>
      </c>
      <c r="AG74" s="51">
        <f t="shared" si="38"/>
        <v>22383.148636622333</v>
      </c>
      <c r="AH74" s="51">
        <f t="shared" ref="AH74:BI74" si="39">(AH67*AH22)+(AH69*AH27)+(AH71*AH32)</f>
        <v>22747.326945289449</v>
      </c>
      <c r="AI74" s="51">
        <f t="shared" si="39"/>
        <v>23122.353117425348</v>
      </c>
      <c r="AJ74" s="51">
        <f t="shared" si="39"/>
        <v>23508.748220037945</v>
      </c>
      <c r="AK74" s="51">
        <f t="shared" si="39"/>
        <v>23907.063224693979</v>
      </c>
      <c r="AL74" s="51">
        <f t="shared" si="39"/>
        <v>24317.880810397957</v>
      </c>
      <c r="AM74" s="51">
        <f t="shared" si="39"/>
        <v>24741.817276788948</v>
      </c>
      <c r="AN74" s="51">
        <f t="shared" si="39"/>
        <v>25179.524574447936</v>
      </c>
      <c r="AO74" s="51">
        <f t="shared" si="39"/>
        <v>25631.692459528153</v>
      </c>
      <c r="AP74" s="51">
        <f t="shared" si="39"/>
        <v>26099.050780366892</v>
      </c>
      <c r="AQ74" s="51">
        <f t="shared" si="39"/>
        <v>26582.371904211326</v>
      </c>
      <c r="AR74" s="51">
        <f t="shared" si="39"/>
        <v>27082.473292693394</v>
      </c>
      <c r="AS74" s="51">
        <f t="shared" si="39"/>
        <v>27600.220235223496</v>
      </c>
      <c r="AT74" s="51">
        <f t="shared" si="39"/>
        <v>28136.528750040448</v>
      </c>
      <c r="AU74" s="51">
        <f t="shared" si="39"/>
        <v>28692.368663257341</v>
      </c>
      <c r="AV74" s="51">
        <f t="shared" si="39"/>
        <v>29268.766876883896</v>
      </c>
      <c r="AW74" s="51">
        <f t="shared" si="39"/>
        <v>29866.810837485307</v>
      </c>
      <c r="AX74" s="51">
        <f t="shared" si="39"/>
        <v>30487.652217860366</v>
      </c>
      <c r="AY74" s="51">
        <f t="shared" si="39"/>
        <v>31132.510824888552</v>
      </c>
      <c r="AZ74" s="51">
        <f t="shared" si="39"/>
        <v>31802.678747510901</v>
      </c>
      <c r="BA74" s="51">
        <f t="shared" si="39"/>
        <v>32499.524759674961</v>
      </c>
      <c r="BB74" s="51">
        <f t="shared" si="39"/>
        <v>33224.49899399381</v>
      </c>
      <c r="BC74" s="51">
        <f t="shared" si="39"/>
        <v>33979.137902845636</v>
      </c>
      <c r="BD74" s="51">
        <f t="shared" si="39"/>
        <v>34765.069524678125</v>
      </c>
      <c r="BE74" s="51">
        <f t="shared" si="39"/>
        <v>35584.019074383788</v>
      </c>
      <c r="BF74" s="51">
        <f t="shared" si="39"/>
        <v>36437.814877783574</v>
      </c>
      <c r="BG74" s="51">
        <f t="shared" si="39"/>
        <v>37328.394671499074</v>
      </c>
      <c r="BH74" s="51">
        <f t="shared" si="39"/>
        <v>38257.812290815986</v>
      </c>
      <c r="BI74" s="51">
        <f t="shared" si="39"/>
        <v>39228.24476954378</v>
      </c>
    </row>
    <row r="75" spans="1:61" x14ac:dyDescent="0.25">
      <c r="A75" s="30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</row>
    <row r="76" spans="1:61" x14ac:dyDescent="0.25">
      <c r="A76" s="59" t="s">
        <v>181</v>
      </c>
      <c r="B76" s="62">
        <v>975</v>
      </c>
      <c r="C76" s="51">
        <f>B76*(1+B77)</f>
        <v>965.25</v>
      </c>
      <c r="D76" s="51">
        <f t="shared" ref="D76:BI76" si="40">C76*(1+C77)</f>
        <v>955.59749999999997</v>
      </c>
      <c r="E76" s="51">
        <f t="shared" si="40"/>
        <v>946.04152499999998</v>
      </c>
      <c r="F76" s="51">
        <f t="shared" si="40"/>
        <v>936.58110975</v>
      </c>
      <c r="G76" s="51">
        <f t="shared" si="40"/>
        <v>927.2152986525</v>
      </c>
      <c r="H76" s="51">
        <f t="shared" si="40"/>
        <v>917.94314566597495</v>
      </c>
      <c r="I76" s="51">
        <f t="shared" si="40"/>
        <v>908.76371420931514</v>
      </c>
      <c r="J76" s="51">
        <f t="shared" si="40"/>
        <v>899.67607706722197</v>
      </c>
      <c r="K76" s="51">
        <f t="shared" si="40"/>
        <v>890.6793162965497</v>
      </c>
      <c r="L76" s="51">
        <f t="shared" si="40"/>
        <v>881.77252313358417</v>
      </c>
      <c r="M76" s="51">
        <f t="shared" si="40"/>
        <v>872.95479790224829</v>
      </c>
      <c r="N76" s="51">
        <f t="shared" si="40"/>
        <v>864.22524992322576</v>
      </c>
      <c r="O76" s="51">
        <f t="shared" si="40"/>
        <v>863.3610246733025</v>
      </c>
      <c r="P76" s="51">
        <f t="shared" si="40"/>
        <v>862.49766364862921</v>
      </c>
      <c r="Q76" s="51">
        <f t="shared" si="40"/>
        <v>861.63516598498063</v>
      </c>
      <c r="R76" s="51">
        <f t="shared" si="40"/>
        <v>860.7735308189956</v>
      </c>
      <c r="S76" s="51">
        <f t="shared" si="40"/>
        <v>859.91275728817664</v>
      </c>
      <c r="T76" s="51">
        <f t="shared" si="40"/>
        <v>859.05284453088848</v>
      </c>
      <c r="U76" s="51">
        <f t="shared" si="40"/>
        <v>858.1937916863576</v>
      </c>
      <c r="V76" s="51">
        <f t="shared" si="40"/>
        <v>857.3355978946712</v>
      </c>
      <c r="W76" s="51">
        <f t="shared" si="40"/>
        <v>856.47826229677651</v>
      </c>
      <c r="X76" s="51">
        <f t="shared" si="40"/>
        <v>855.62178403447967</v>
      </c>
      <c r="Y76" s="51">
        <f t="shared" si="40"/>
        <v>854.76616225044518</v>
      </c>
      <c r="Z76" s="51">
        <f t="shared" si="40"/>
        <v>853.91139608819469</v>
      </c>
      <c r="AA76" s="51">
        <f t="shared" si="40"/>
        <v>853.05748469210653</v>
      </c>
      <c r="AB76" s="51">
        <f t="shared" si="40"/>
        <v>852.20442720741437</v>
      </c>
      <c r="AC76" s="51">
        <f t="shared" si="40"/>
        <v>851.35222278020694</v>
      </c>
      <c r="AD76" s="51">
        <f t="shared" si="40"/>
        <v>850.50087055742677</v>
      </c>
      <c r="AE76" s="51">
        <f t="shared" si="40"/>
        <v>849.65036968686934</v>
      </c>
      <c r="AF76" s="51">
        <f t="shared" si="40"/>
        <v>848.80071931718248</v>
      </c>
      <c r="AG76" s="51">
        <f t="shared" si="40"/>
        <v>847.9519185978653</v>
      </c>
      <c r="AH76" s="51">
        <f t="shared" si="40"/>
        <v>847.10396667926739</v>
      </c>
      <c r="AI76" s="51">
        <f t="shared" si="40"/>
        <v>846.25686271258814</v>
      </c>
      <c r="AJ76" s="51">
        <f t="shared" si="40"/>
        <v>845.41060584987554</v>
      </c>
      <c r="AK76" s="51">
        <f t="shared" si="40"/>
        <v>844.56519524402563</v>
      </c>
      <c r="AL76" s="51">
        <f t="shared" si="40"/>
        <v>843.72063004878157</v>
      </c>
      <c r="AM76" s="51">
        <f t="shared" si="40"/>
        <v>842.87690941873279</v>
      </c>
      <c r="AN76" s="51">
        <f t="shared" si="40"/>
        <v>842.0340325093141</v>
      </c>
      <c r="AO76" s="51">
        <f t="shared" si="40"/>
        <v>841.19199847680477</v>
      </c>
      <c r="AP76" s="51">
        <f t="shared" si="40"/>
        <v>840.35080647832797</v>
      </c>
      <c r="AQ76" s="51">
        <f t="shared" si="40"/>
        <v>839.51045567184963</v>
      </c>
      <c r="AR76" s="51">
        <f t="shared" si="40"/>
        <v>838.67094521617776</v>
      </c>
      <c r="AS76" s="51">
        <f t="shared" si="40"/>
        <v>837.83227427096153</v>
      </c>
      <c r="AT76" s="51">
        <f t="shared" si="40"/>
        <v>836.99444199669063</v>
      </c>
      <c r="AU76" s="51">
        <f t="shared" si="40"/>
        <v>836.15744755469393</v>
      </c>
      <c r="AV76" s="51">
        <f t="shared" si="40"/>
        <v>835.32129010713925</v>
      </c>
      <c r="AW76" s="51">
        <f t="shared" si="40"/>
        <v>834.48596881703213</v>
      </c>
      <c r="AX76" s="51">
        <f t="shared" si="40"/>
        <v>833.6514828482151</v>
      </c>
      <c r="AY76" s="51">
        <f t="shared" si="40"/>
        <v>832.81783136536683</v>
      </c>
      <c r="AZ76" s="51">
        <f t="shared" si="40"/>
        <v>831.9850135340015</v>
      </c>
      <c r="BA76" s="51">
        <f t="shared" si="40"/>
        <v>831.1530285204675</v>
      </c>
      <c r="BB76" s="51">
        <f t="shared" si="40"/>
        <v>830.32187549194703</v>
      </c>
      <c r="BC76" s="51">
        <f t="shared" si="40"/>
        <v>829.49155361645512</v>
      </c>
      <c r="BD76" s="51">
        <f t="shared" si="40"/>
        <v>828.66206206283869</v>
      </c>
      <c r="BE76" s="51">
        <f t="shared" si="40"/>
        <v>827.8334000007759</v>
      </c>
      <c r="BF76" s="51">
        <f t="shared" si="40"/>
        <v>827.00556660077507</v>
      </c>
      <c r="BG76" s="51">
        <f t="shared" si="40"/>
        <v>826.17856103417432</v>
      </c>
      <c r="BH76" s="51">
        <f t="shared" si="40"/>
        <v>825.3523824731401</v>
      </c>
      <c r="BI76" s="51">
        <f t="shared" si="40"/>
        <v>824.52703009066693</v>
      </c>
    </row>
    <row r="77" spans="1:61" x14ac:dyDescent="0.25">
      <c r="A77" s="59" t="s">
        <v>162</v>
      </c>
      <c r="B77" s="50">
        <v>-0.01</v>
      </c>
      <c r="C77" s="50">
        <v>-0.01</v>
      </c>
      <c r="D77" s="50">
        <v>-0.01</v>
      </c>
      <c r="E77" s="50">
        <v>-0.01</v>
      </c>
      <c r="F77" s="50">
        <v>-0.01</v>
      </c>
      <c r="G77" s="50">
        <v>-0.01</v>
      </c>
      <c r="H77" s="50">
        <v>-0.01</v>
      </c>
      <c r="I77" s="50">
        <v>-0.01</v>
      </c>
      <c r="J77" s="50">
        <v>-0.01</v>
      </c>
      <c r="K77" s="50">
        <v>-0.01</v>
      </c>
      <c r="L77" s="50">
        <v>-0.01</v>
      </c>
      <c r="M77" s="50">
        <v>-0.01</v>
      </c>
      <c r="N77" s="18">
        <v>-1E-3</v>
      </c>
      <c r="O77" s="18">
        <v>-1E-3</v>
      </c>
      <c r="P77" s="18">
        <v>-1E-3</v>
      </c>
      <c r="Q77" s="18">
        <v>-1E-3</v>
      </c>
      <c r="R77" s="18">
        <v>-1E-3</v>
      </c>
      <c r="S77" s="18">
        <v>-1E-3</v>
      </c>
      <c r="T77" s="18">
        <v>-1E-3</v>
      </c>
      <c r="U77" s="18">
        <v>-1E-3</v>
      </c>
      <c r="V77" s="18">
        <v>-1E-3</v>
      </c>
      <c r="W77" s="18">
        <v>-1E-3</v>
      </c>
      <c r="X77" s="18">
        <v>-1E-3</v>
      </c>
      <c r="Y77" s="18">
        <v>-1E-3</v>
      </c>
      <c r="Z77" s="18">
        <v>-1E-3</v>
      </c>
      <c r="AA77" s="18">
        <v>-1E-3</v>
      </c>
      <c r="AB77" s="18">
        <v>-1E-3</v>
      </c>
      <c r="AC77" s="18">
        <v>-1E-3</v>
      </c>
      <c r="AD77" s="18">
        <v>-1E-3</v>
      </c>
      <c r="AE77" s="18">
        <v>-1E-3</v>
      </c>
      <c r="AF77" s="18">
        <v>-1E-3</v>
      </c>
      <c r="AG77" s="18">
        <v>-1E-3</v>
      </c>
      <c r="AH77" s="18">
        <v>-1E-3</v>
      </c>
      <c r="AI77" s="18">
        <v>-1E-3</v>
      </c>
      <c r="AJ77" s="18">
        <v>-1E-3</v>
      </c>
      <c r="AK77" s="18">
        <v>-1E-3</v>
      </c>
      <c r="AL77" s="18">
        <v>-1E-3</v>
      </c>
      <c r="AM77" s="18">
        <v>-1E-3</v>
      </c>
      <c r="AN77" s="18">
        <v>-1E-3</v>
      </c>
      <c r="AO77" s="18">
        <v>-1E-3</v>
      </c>
      <c r="AP77" s="18">
        <v>-1E-3</v>
      </c>
      <c r="AQ77" s="18">
        <v>-1E-3</v>
      </c>
      <c r="AR77" s="18">
        <v>-1E-3</v>
      </c>
      <c r="AS77" s="18">
        <v>-1E-3</v>
      </c>
      <c r="AT77" s="18">
        <v>-1E-3</v>
      </c>
      <c r="AU77" s="18">
        <v>-1E-3</v>
      </c>
      <c r="AV77" s="18">
        <v>-1E-3</v>
      </c>
      <c r="AW77" s="18">
        <v>-1E-3</v>
      </c>
      <c r="AX77" s="18">
        <v>-1E-3</v>
      </c>
      <c r="AY77" s="18">
        <v>-1E-3</v>
      </c>
      <c r="AZ77" s="18">
        <v>-1E-3</v>
      </c>
      <c r="BA77" s="18">
        <v>-1E-3</v>
      </c>
      <c r="BB77" s="18">
        <v>-1E-3</v>
      </c>
      <c r="BC77" s="18">
        <v>-1E-3</v>
      </c>
      <c r="BD77" s="18">
        <v>-1E-3</v>
      </c>
      <c r="BE77" s="18">
        <v>-1E-3</v>
      </c>
      <c r="BF77" s="18">
        <v>-1E-3</v>
      </c>
      <c r="BG77" s="18">
        <v>-1E-3</v>
      </c>
      <c r="BH77" s="18">
        <v>-1E-3</v>
      </c>
      <c r="BI77" s="18">
        <v>-1E-3</v>
      </c>
    </row>
    <row r="78" spans="1:61" x14ac:dyDescent="0.25">
      <c r="A78" s="59" t="s">
        <v>182</v>
      </c>
      <c r="B78" s="62">
        <v>1000</v>
      </c>
      <c r="C78" s="51">
        <f>B78*(1+B79)</f>
        <v>990</v>
      </c>
      <c r="D78" s="51">
        <f t="shared" ref="D78:BI78" si="41">C78*(1+C79)</f>
        <v>980.1</v>
      </c>
      <c r="E78" s="51">
        <f t="shared" si="41"/>
        <v>970.29899999999998</v>
      </c>
      <c r="F78" s="51">
        <f t="shared" si="41"/>
        <v>960.59600999999998</v>
      </c>
      <c r="G78" s="51">
        <f t="shared" si="41"/>
        <v>950.99004989999992</v>
      </c>
      <c r="H78" s="51">
        <f t="shared" si="41"/>
        <v>941.48014940099995</v>
      </c>
      <c r="I78" s="51">
        <f t="shared" si="41"/>
        <v>932.06534790698993</v>
      </c>
      <c r="J78" s="51">
        <f t="shared" si="41"/>
        <v>922.74469442791997</v>
      </c>
      <c r="K78" s="51">
        <f t="shared" si="41"/>
        <v>913.51724748364074</v>
      </c>
      <c r="L78" s="51">
        <f t="shared" si="41"/>
        <v>904.38207500880435</v>
      </c>
      <c r="M78" s="51">
        <f t="shared" si="41"/>
        <v>895.33825425871635</v>
      </c>
      <c r="N78" s="51">
        <f t="shared" si="41"/>
        <v>886.38487171612917</v>
      </c>
      <c r="O78" s="51">
        <f t="shared" si="41"/>
        <v>885.49848684441304</v>
      </c>
      <c r="P78" s="51">
        <f t="shared" si="41"/>
        <v>884.61298835756861</v>
      </c>
      <c r="Q78" s="51">
        <f t="shared" si="41"/>
        <v>883.72837536921099</v>
      </c>
      <c r="R78" s="51">
        <f t="shared" si="41"/>
        <v>882.84464699384182</v>
      </c>
      <c r="S78" s="51">
        <f t="shared" si="41"/>
        <v>881.961802346848</v>
      </c>
      <c r="T78" s="51">
        <f t="shared" si="41"/>
        <v>881.07984054450117</v>
      </c>
      <c r="U78" s="51">
        <f t="shared" si="41"/>
        <v>880.19876070395662</v>
      </c>
      <c r="V78" s="51">
        <f t="shared" si="41"/>
        <v>879.31856194325269</v>
      </c>
      <c r="W78" s="51">
        <f t="shared" si="41"/>
        <v>878.43924338130944</v>
      </c>
      <c r="X78" s="51">
        <f t="shared" si="41"/>
        <v>877.56080413792813</v>
      </c>
      <c r="Y78" s="51">
        <f t="shared" si="41"/>
        <v>876.68324333379019</v>
      </c>
      <c r="Z78" s="51">
        <f t="shared" si="41"/>
        <v>875.8065600904564</v>
      </c>
      <c r="AA78" s="51">
        <f t="shared" si="41"/>
        <v>874.93075353036591</v>
      </c>
      <c r="AB78" s="51">
        <f t="shared" si="41"/>
        <v>874.0558227768355</v>
      </c>
      <c r="AC78" s="51">
        <f t="shared" si="41"/>
        <v>873.18176695405862</v>
      </c>
      <c r="AD78" s="51">
        <f t="shared" si="41"/>
        <v>872.30858518710454</v>
      </c>
      <c r="AE78" s="51">
        <f t="shared" si="41"/>
        <v>871.43627660191748</v>
      </c>
      <c r="AF78" s="51">
        <f t="shared" si="41"/>
        <v>870.56484032531557</v>
      </c>
      <c r="AG78" s="51">
        <f t="shared" si="41"/>
        <v>869.69427548499027</v>
      </c>
      <c r="AH78" s="51">
        <f t="shared" si="41"/>
        <v>868.82458120950525</v>
      </c>
      <c r="AI78" s="51">
        <f t="shared" si="41"/>
        <v>867.95575662829572</v>
      </c>
      <c r="AJ78" s="51">
        <f t="shared" si="41"/>
        <v>867.08780087166747</v>
      </c>
      <c r="AK78" s="51">
        <f t="shared" si="41"/>
        <v>866.2207130707958</v>
      </c>
      <c r="AL78" s="51">
        <f t="shared" si="41"/>
        <v>865.35449235772501</v>
      </c>
      <c r="AM78" s="51">
        <f t="shared" si="41"/>
        <v>864.4891378653673</v>
      </c>
      <c r="AN78" s="51">
        <f t="shared" si="41"/>
        <v>863.62464872750195</v>
      </c>
      <c r="AO78" s="51">
        <f t="shared" si="41"/>
        <v>862.76102407877443</v>
      </c>
      <c r="AP78" s="51">
        <f t="shared" si="41"/>
        <v>861.89826305469569</v>
      </c>
      <c r="AQ78" s="51">
        <f t="shared" si="41"/>
        <v>861.03636479164095</v>
      </c>
      <c r="AR78" s="51">
        <f t="shared" si="41"/>
        <v>860.17532842684932</v>
      </c>
      <c r="AS78" s="51">
        <f t="shared" si="41"/>
        <v>859.31515309842246</v>
      </c>
      <c r="AT78" s="51">
        <f t="shared" si="41"/>
        <v>858.45583794532399</v>
      </c>
      <c r="AU78" s="51">
        <f t="shared" si="41"/>
        <v>857.59738210737862</v>
      </c>
      <c r="AV78" s="51">
        <f t="shared" si="41"/>
        <v>856.73978472527119</v>
      </c>
      <c r="AW78" s="51">
        <f t="shared" si="41"/>
        <v>855.88304494054591</v>
      </c>
      <c r="AX78" s="51">
        <f t="shared" si="41"/>
        <v>855.02716189560533</v>
      </c>
      <c r="AY78" s="51">
        <f t="shared" si="41"/>
        <v>854.17213473370975</v>
      </c>
      <c r="AZ78" s="51">
        <f t="shared" si="41"/>
        <v>853.31796259897601</v>
      </c>
      <c r="BA78" s="51">
        <f t="shared" si="41"/>
        <v>852.46464463637699</v>
      </c>
      <c r="BB78" s="51">
        <f t="shared" si="41"/>
        <v>851.61217999174062</v>
      </c>
      <c r="BC78" s="51">
        <f t="shared" si="41"/>
        <v>850.76056781174884</v>
      </c>
      <c r="BD78" s="51">
        <f t="shared" si="41"/>
        <v>849.90980724393705</v>
      </c>
      <c r="BE78" s="51">
        <f t="shared" si="41"/>
        <v>849.05989743669306</v>
      </c>
      <c r="BF78" s="51">
        <f t="shared" si="41"/>
        <v>848.21083753925632</v>
      </c>
      <c r="BG78" s="51">
        <f t="shared" si="41"/>
        <v>847.36262670171709</v>
      </c>
      <c r="BH78" s="51">
        <f t="shared" si="41"/>
        <v>846.51526407501535</v>
      </c>
      <c r="BI78" s="51">
        <f t="shared" si="41"/>
        <v>845.66874881094031</v>
      </c>
    </row>
    <row r="79" spans="1:61" x14ac:dyDescent="0.25">
      <c r="A79" s="59" t="s">
        <v>162</v>
      </c>
      <c r="B79" s="50">
        <v>-0.01</v>
      </c>
      <c r="C79" s="50">
        <v>-0.01</v>
      </c>
      <c r="D79" s="50">
        <v>-0.01</v>
      </c>
      <c r="E79" s="50">
        <v>-0.01</v>
      </c>
      <c r="F79" s="50">
        <v>-0.01</v>
      </c>
      <c r="G79" s="50">
        <v>-0.01</v>
      </c>
      <c r="H79" s="50">
        <v>-0.01</v>
      </c>
      <c r="I79" s="50">
        <v>-0.01</v>
      </c>
      <c r="J79" s="50">
        <v>-0.01</v>
      </c>
      <c r="K79" s="50">
        <v>-0.01</v>
      </c>
      <c r="L79" s="50">
        <v>-0.01</v>
      </c>
      <c r="M79" s="50">
        <v>-0.01</v>
      </c>
      <c r="N79" s="18">
        <v>-1E-3</v>
      </c>
      <c r="O79" s="18">
        <v>-1E-3</v>
      </c>
      <c r="P79" s="18">
        <v>-1E-3</v>
      </c>
      <c r="Q79" s="18">
        <v>-1E-3</v>
      </c>
      <c r="R79" s="18">
        <v>-1E-3</v>
      </c>
      <c r="S79" s="18">
        <v>-1E-3</v>
      </c>
      <c r="T79" s="18">
        <v>-1E-3</v>
      </c>
      <c r="U79" s="18">
        <v>-1E-3</v>
      </c>
      <c r="V79" s="18">
        <v>-1E-3</v>
      </c>
      <c r="W79" s="18">
        <v>-1E-3</v>
      </c>
      <c r="X79" s="18">
        <v>-1E-3</v>
      </c>
      <c r="Y79" s="18">
        <v>-1E-3</v>
      </c>
      <c r="Z79" s="18">
        <v>-1E-3</v>
      </c>
      <c r="AA79" s="18">
        <v>-1E-3</v>
      </c>
      <c r="AB79" s="18">
        <v>-1E-3</v>
      </c>
      <c r="AC79" s="18">
        <v>-1E-3</v>
      </c>
      <c r="AD79" s="18">
        <v>-1E-3</v>
      </c>
      <c r="AE79" s="18">
        <v>-1E-3</v>
      </c>
      <c r="AF79" s="18">
        <v>-1E-3</v>
      </c>
      <c r="AG79" s="18">
        <v>-1E-3</v>
      </c>
      <c r="AH79" s="18">
        <v>-1E-3</v>
      </c>
      <c r="AI79" s="18">
        <v>-1E-3</v>
      </c>
      <c r="AJ79" s="18">
        <v>-1E-3</v>
      </c>
      <c r="AK79" s="18">
        <v>-1E-3</v>
      </c>
      <c r="AL79" s="18">
        <v>-1E-3</v>
      </c>
      <c r="AM79" s="18">
        <v>-1E-3</v>
      </c>
      <c r="AN79" s="18">
        <v>-1E-3</v>
      </c>
      <c r="AO79" s="18">
        <v>-1E-3</v>
      </c>
      <c r="AP79" s="18">
        <v>-1E-3</v>
      </c>
      <c r="AQ79" s="18">
        <v>-1E-3</v>
      </c>
      <c r="AR79" s="18">
        <v>-1E-3</v>
      </c>
      <c r="AS79" s="18">
        <v>-1E-3</v>
      </c>
      <c r="AT79" s="18">
        <v>-1E-3</v>
      </c>
      <c r="AU79" s="18">
        <v>-1E-3</v>
      </c>
      <c r="AV79" s="18">
        <v>-1E-3</v>
      </c>
      <c r="AW79" s="18">
        <v>-1E-3</v>
      </c>
      <c r="AX79" s="18">
        <v>-1E-3</v>
      </c>
      <c r="AY79" s="18">
        <v>-1E-3</v>
      </c>
      <c r="AZ79" s="18">
        <v>-1E-3</v>
      </c>
      <c r="BA79" s="18">
        <v>-1E-3</v>
      </c>
      <c r="BB79" s="18">
        <v>-1E-3</v>
      </c>
      <c r="BC79" s="18">
        <v>-1E-3</v>
      </c>
      <c r="BD79" s="18">
        <v>-1E-3</v>
      </c>
      <c r="BE79" s="18">
        <v>-1E-3</v>
      </c>
      <c r="BF79" s="18">
        <v>-1E-3</v>
      </c>
      <c r="BG79" s="18">
        <v>-1E-3</v>
      </c>
      <c r="BH79" s="18">
        <v>-1E-3</v>
      </c>
      <c r="BI79" s="18">
        <v>-1E-3</v>
      </c>
    </row>
    <row r="80" spans="1:61" x14ac:dyDescent="0.25">
      <c r="A80" s="59" t="s">
        <v>183</v>
      </c>
      <c r="B80" s="62">
        <v>1025</v>
      </c>
      <c r="C80" s="51">
        <f>B80*(1+B81)</f>
        <v>1014.75</v>
      </c>
      <c r="D80" s="51">
        <f t="shared" ref="D80:BI80" si="42">C80*(1+C81)</f>
        <v>1004.6025</v>
      </c>
      <c r="E80" s="51">
        <f t="shared" si="42"/>
        <v>994.55647499999998</v>
      </c>
      <c r="F80" s="51">
        <f t="shared" si="42"/>
        <v>984.61091024999996</v>
      </c>
      <c r="G80" s="51">
        <f t="shared" si="42"/>
        <v>974.76480114749995</v>
      </c>
      <c r="H80" s="51">
        <f t="shared" si="42"/>
        <v>965.01715313602494</v>
      </c>
      <c r="I80" s="51">
        <f t="shared" si="42"/>
        <v>955.36698160466472</v>
      </c>
      <c r="J80" s="51">
        <f t="shared" si="42"/>
        <v>945.81331178861808</v>
      </c>
      <c r="K80" s="51">
        <f t="shared" si="42"/>
        <v>936.3551786707319</v>
      </c>
      <c r="L80" s="51">
        <f t="shared" si="42"/>
        <v>926.99162688402453</v>
      </c>
      <c r="M80" s="51">
        <f t="shared" si="42"/>
        <v>917.72171061518429</v>
      </c>
      <c r="N80" s="51">
        <f t="shared" si="42"/>
        <v>908.54449350903246</v>
      </c>
      <c r="O80" s="51">
        <f t="shared" si="42"/>
        <v>907.63594901552347</v>
      </c>
      <c r="P80" s="51">
        <f t="shared" si="42"/>
        <v>906.72831306650789</v>
      </c>
      <c r="Q80" s="51">
        <f t="shared" si="42"/>
        <v>905.82158475344136</v>
      </c>
      <c r="R80" s="51">
        <f t="shared" si="42"/>
        <v>904.91576316868793</v>
      </c>
      <c r="S80" s="51">
        <f t="shared" si="42"/>
        <v>904.01084740551926</v>
      </c>
      <c r="T80" s="51">
        <f t="shared" si="42"/>
        <v>903.10683655811374</v>
      </c>
      <c r="U80" s="51">
        <f t="shared" si="42"/>
        <v>902.20372972155565</v>
      </c>
      <c r="V80" s="51">
        <f t="shared" si="42"/>
        <v>901.30152599183407</v>
      </c>
      <c r="W80" s="51">
        <f t="shared" si="42"/>
        <v>900.40022446584226</v>
      </c>
      <c r="X80" s="51">
        <f t="shared" si="42"/>
        <v>899.49982424137636</v>
      </c>
      <c r="Y80" s="51">
        <f t="shared" si="42"/>
        <v>898.60032441713497</v>
      </c>
      <c r="Z80" s="51">
        <f t="shared" si="42"/>
        <v>897.70172409271788</v>
      </c>
      <c r="AA80" s="51">
        <f t="shared" si="42"/>
        <v>896.80402236862517</v>
      </c>
      <c r="AB80" s="51">
        <f t="shared" si="42"/>
        <v>895.90721834625651</v>
      </c>
      <c r="AC80" s="51">
        <f t="shared" si="42"/>
        <v>895.01131112791029</v>
      </c>
      <c r="AD80" s="51">
        <f t="shared" si="42"/>
        <v>894.11629981678243</v>
      </c>
      <c r="AE80" s="51">
        <f t="shared" si="42"/>
        <v>893.22218351696563</v>
      </c>
      <c r="AF80" s="51">
        <f t="shared" si="42"/>
        <v>892.32896133344866</v>
      </c>
      <c r="AG80" s="51">
        <f t="shared" si="42"/>
        <v>891.43663237211524</v>
      </c>
      <c r="AH80" s="51">
        <f t="shared" si="42"/>
        <v>890.54519573974312</v>
      </c>
      <c r="AI80" s="51">
        <f t="shared" si="42"/>
        <v>889.6546505440034</v>
      </c>
      <c r="AJ80" s="51">
        <f t="shared" si="42"/>
        <v>888.7649958934594</v>
      </c>
      <c r="AK80" s="51">
        <f t="shared" si="42"/>
        <v>887.87623089756596</v>
      </c>
      <c r="AL80" s="51">
        <f t="shared" si="42"/>
        <v>886.98835466666844</v>
      </c>
      <c r="AM80" s="51">
        <f t="shared" si="42"/>
        <v>886.1013663120018</v>
      </c>
      <c r="AN80" s="51">
        <f t="shared" si="42"/>
        <v>885.2152649456898</v>
      </c>
      <c r="AO80" s="51">
        <f t="shared" si="42"/>
        <v>884.33004968074408</v>
      </c>
      <c r="AP80" s="51">
        <f t="shared" si="42"/>
        <v>883.4457196310633</v>
      </c>
      <c r="AQ80" s="51">
        <f t="shared" si="42"/>
        <v>882.56227391143227</v>
      </c>
      <c r="AR80" s="51">
        <f t="shared" si="42"/>
        <v>881.67971163752088</v>
      </c>
      <c r="AS80" s="51">
        <f t="shared" si="42"/>
        <v>880.79803192588338</v>
      </c>
      <c r="AT80" s="51">
        <f t="shared" si="42"/>
        <v>879.91723389395747</v>
      </c>
      <c r="AU80" s="51">
        <f t="shared" si="42"/>
        <v>879.03731666006354</v>
      </c>
      <c r="AV80" s="51">
        <f t="shared" si="42"/>
        <v>878.15827934340348</v>
      </c>
      <c r="AW80" s="51">
        <f t="shared" si="42"/>
        <v>877.28012106406004</v>
      </c>
      <c r="AX80" s="51">
        <f t="shared" si="42"/>
        <v>876.40284094299602</v>
      </c>
      <c r="AY80" s="51">
        <f t="shared" si="42"/>
        <v>875.52643810205302</v>
      </c>
      <c r="AZ80" s="51">
        <f t="shared" si="42"/>
        <v>874.65091166395098</v>
      </c>
      <c r="BA80" s="51">
        <f t="shared" si="42"/>
        <v>873.77626075228704</v>
      </c>
      <c r="BB80" s="51">
        <f t="shared" si="42"/>
        <v>872.90248449153478</v>
      </c>
      <c r="BC80" s="51">
        <f t="shared" si="42"/>
        <v>872.02958200704325</v>
      </c>
      <c r="BD80" s="51">
        <f t="shared" si="42"/>
        <v>871.15755242503622</v>
      </c>
      <c r="BE80" s="51">
        <f t="shared" si="42"/>
        <v>870.28639487261114</v>
      </c>
      <c r="BF80" s="51">
        <f t="shared" si="42"/>
        <v>869.41610847773848</v>
      </c>
      <c r="BG80" s="51">
        <f t="shared" si="42"/>
        <v>868.54669236926077</v>
      </c>
      <c r="BH80" s="51">
        <f t="shared" si="42"/>
        <v>867.67814567689152</v>
      </c>
      <c r="BI80" s="51">
        <f t="shared" si="42"/>
        <v>866.81046753121461</v>
      </c>
    </row>
    <row r="81" spans="1:61" x14ac:dyDescent="0.25">
      <c r="A81" s="59" t="s">
        <v>162</v>
      </c>
      <c r="B81" s="50">
        <v>-0.01</v>
      </c>
      <c r="C81" s="50">
        <v>-0.01</v>
      </c>
      <c r="D81" s="50">
        <v>-0.01</v>
      </c>
      <c r="E81" s="50">
        <v>-0.01</v>
      </c>
      <c r="F81" s="50">
        <v>-0.01</v>
      </c>
      <c r="G81" s="50">
        <v>-0.01</v>
      </c>
      <c r="H81" s="50">
        <v>-0.01</v>
      </c>
      <c r="I81" s="50">
        <v>-0.01</v>
      </c>
      <c r="J81" s="50">
        <v>-0.01</v>
      </c>
      <c r="K81" s="50">
        <v>-0.01</v>
      </c>
      <c r="L81" s="50">
        <v>-0.01</v>
      </c>
      <c r="M81" s="50">
        <v>-0.01</v>
      </c>
      <c r="N81" s="18">
        <v>-1E-3</v>
      </c>
      <c r="O81" s="18">
        <v>-1E-3</v>
      </c>
      <c r="P81" s="18">
        <v>-1E-3</v>
      </c>
      <c r="Q81" s="18">
        <v>-1E-3</v>
      </c>
      <c r="R81" s="18">
        <v>-1E-3</v>
      </c>
      <c r="S81" s="18">
        <v>-1E-3</v>
      </c>
      <c r="T81" s="18">
        <v>-1E-3</v>
      </c>
      <c r="U81" s="18">
        <v>-1E-3</v>
      </c>
      <c r="V81" s="18">
        <v>-1E-3</v>
      </c>
      <c r="W81" s="18">
        <v>-1E-3</v>
      </c>
      <c r="X81" s="18">
        <v>-1E-3</v>
      </c>
      <c r="Y81" s="18">
        <v>-1E-3</v>
      </c>
      <c r="Z81" s="18">
        <v>-1E-3</v>
      </c>
      <c r="AA81" s="18">
        <v>-1E-3</v>
      </c>
      <c r="AB81" s="18">
        <v>-1E-3</v>
      </c>
      <c r="AC81" s="18">
        <v>-1E-3</v>
      </c>
      <c r="AD81" s="18">
        <v>-1E-3</v>
      </c>
      <c r="AE81" s="18">
        <v>-1E-3</v>
      </c>
      <c r="AF81" s="18">
        <v>-1E-3</v>
      </c>
      <c r="AG81" s="18">
        <v>-1E-3</v>
      </c>
      <c r="AH81" s="18">
        <v>-1E-3</v>
      </c>
      <c r="AI81" s="18">
        <v>-1E-3</v>
      </c>
      <c r="AJ81" s="18">
        <v>-1E-3</v>
      </c>
      <c r="AK81" s="18">
        <v>-1E-3</v>
      </c>
      <c r="AL81" s="18">
        <v>-1E-3</v>
      </c>
      <c r="AM81" s="18">
        <v>-1E-3</v>
      </c>
      <c r="AN81" s="18">
        <v>-1E-3</v>
      </c>
      <c r="AO81" s="18">
        <v>-1E-3</v>
      </c>
      <c r="AP81" s="18">
        <v>-1E-3</v>
      </c>
      <c r="AQ81" s="18">
        <v>-1E-3</v>
      </c>
      <c r="AR81" s="18">
        <v>-1E-3</v>
      </c>
      <c r="AS81" s="18">
        <v>-1E-3</v>
      </c>
      <c r="AT81" s="18">
        <v>-1E-3</v>
      </c>
      <c r="AU81" s="18">
        <v>-1E-3</v>
      </c>
      <c r="AV81" s="18">
        <v>-1E-3</v>
      </c>
      <c r="AW81" s="18">
        <v>-1E-3</v>
      </c>
      <c r="AX81" s="18">
        <v>-1E-3</v>
      </c>
      <c r="AY81" s="18">
        <v>-1E-3</v>
      </c>
      <c r="AZ81" s="18">
        <v>-1E-3</v>
      </c>
      <c r="BA81" s="18">
        <v>-1E-3</v>
      </c>
      <c r="BB81" s="18">
        <v>-1E-3</v>
      </c>
      <c r="BC81" s="18">
        <v>-1E-3</v>
      </c>
      <c r="BD81" s="18">
        <v>-1E-3</v>
      </c>
      <c r="BE81" s="18">
        <v>-1E-3</v>
      </c>
      <c r="BF81" s="18">
        <v>-1E-3</v>
      </c>
      <c r="BG81" s="18">
        <v>-1E-3</v>
      </c>
      <c r="BH81" s="18">
        <v>-1E-3</v>
      </c>
      <c r="BI81" s="18">
        <v>-1E-3</v>
      </c>
    </row>
    <row r="83" spans="1:61" x14ac:dyDescent="0.25">
      <c r="A83" s="30" t="s">
        <v>159</v>
      </c>
      <c r="B83" s="51">
        <f t="shared" ref="B83:AG83" si="43">(B76*B22)+(B27*B78)+(B80*B32)+B47+B59</f>
        <v>0</v>
      </c>
      <c r="C83" s="51">
        <f t="shared" si="43"/>
        <v>0</v>
      </c>
      <c r="D83" s="51">
        <f t="shared" si="43"/>
        <v>0</v>
      </c>
      <c r="E83" s="51">
        <f t="shared" si="43"/>
        <v>314626.7243854978</v>
      </c>
      <c r="F83" s="51">
        <f t="shared" si="43"/>
        <v>315415.11300692748</v>
      </c>
      <c r="G83" s="51">
        <f t="shared" si="43"/>
        <v>316229.46193409886</v>
      </c>
      <c r="H83" s="51">
        <f t="shared" si="43"/>
        <v>317070.89215669123</v>
      </c>
      <c r="I83" s="51">
        <f t="shared" si="43"/>
        <v>317940.57855581888</v>
      </c>
      <c r="J83" s="51">
        <f t="shared" si="43"/>
        <v>318839.75257932651</v>
      </c>
      <c r="K83" s="51">
        <f t="shared" si="43"/>
        <v>319769.70505146979</v>
      </c>
      <c r="L83" s="51">
        <f t="shared" si="43"/>
        <v>320731.78912377695</v>
      </c>
      <c r="M83" s="51">
        <f t="shared" si="43"/>
        <v>321727.42337423359</v>
      </c>
      <c r="N83" s="51">
        <f t="shared" si="43"/>
        <v>322758.09506230085</v>
      </c>
      <c r="O83" s="51">
        <f t="shared" si="43"/>
        <v>326758.77911822341</v>
      </c>
      <c r="P83" s="51">
        <f t="shared" si="43"/>
        <v>330842.36753658717</v>
      </c>
      <c r="Q83" s="51">
        <f t="shared" si="43"/>
        <v>335012.08471751789</v>
      </c>
      <c r="R83" s="51">
        <f t="shared" si="43"/>
        <v>339271.3257388827</v>
      </c>
      <c r="S83" s="51">
        <f t="shared" si="43"/>
        <v>343623.66622557031</v>
      </c>
      <c r="T83" s="51">
        <f t="shared" si="43"/>
        <v>348072.87280295097</v>
      </c>
      <c r="U83" s="51">
        <f t="shared" si="43"/>
        <v>352622.91416934406</v>
      </c>
      <c r="V83" s="51">
        <f t="shared" si="43"/>
        <v>357277.97282440506</v>
      </c>
      <c r="W83" s="51">
        <f t="shared" si="43"/>
        <v>362042.4574925481</v>
      </c>
      <c r="X83" s="51">
        <f t="shared" si="43"/>
        <v>366921.01628286374</v>
      </c>
      <c r="Y83" s="51">
        <f t="shared" si="43"/>
        <v>371918.55062946735</v>
      </c>
      <c r="Z83" s="51">
        <f t="shared" si="43"/>
        <v>377040.2300588449</v>
      </c>
      <c r="AA83" s="51">
        <f t="shared" si="43"/>
        <v>382291.507833549</v>
      </c>
      <c r="AB83" s="51">
        <f t="shared" si="43"/>
        <v>387678.13752454706</v>
      </c>
      <c r="AC83" s="51">
        <f t="shared" si="43"/>
        <v>393206.1905676598</v>
      </c>
      <c r="AD83" s="51">
        <f t="shared" si="43"/>
        <v>398882.07486283954</v>
      </c>
      <c r="AE83" s="51">
        <f t="shared" si="43"/>
        <v>404712.55447855731</v>
      </c>
      <c r="AF83" s="51">
        <f t="shared" si="43"/>
        <v>410704.77052729658</v>
      </c>
      <c r="AG83" s="51">
        <f t="shared" si="43"/>
        <v>416866.26328209869</v>
      </c>
      <c r="AH83" s="51">
        <f t="shared" ref="AH83:BI83" si="44">(AH76*AH22)+(AH27*AH78)+(AH80*AH32)+AH47+AH59</f>
        <v>423204.99560829473</v>
      </c>
      <c r="AI83" s="51">
        <f t="shared" si="44"/>
        <v>429729.37778899941</v>
      </c>
      <c r="AJ83" s="51">
        <f t="shared" si="44"/>
        <v>436448.29382764269</v>
      </c>
      <c r="AK83" s="51">
        <f t="shared" si="44"/>
        <v>443371.12931580923</v>
      </c>
      <c r="AL83" s="51">
        <f t="shared" si="44"/>
        <v>450507.8009599357</v>
      </c>
      <c r="AM83" s="51">
        <f t="shared" si="44"/>
        <v>457868.78786602558</v>
      </c>
      <c r="AN83" s="51">
        <f t="shared" si="44"/>
        <v>465465.16468747729</v>
      </c>
      <c r="AO83" s="51">
        <f t="shared" si="44"/>
        <v>473308.6367474221</v>
      </c>
      <c r="AP83" s="51">
        <f t="shared" si="44"/>
        <v>481411.57725363702</v>
      </c>
      <c r="AQ83" s="51">
        <f t="shared" si="44"/>
        <v>489787.06673118402</v>
      </c>
      <c r="AR83" s="51">
        <f t="shared" si="44"/>
        <v>498448.93480541417</v>
      </c>
      <c r="AS83" s="51">
        <f t="shared" si="44"/>
        <v>507411.80447593343</v>
      </c>
      <c r="AT83" s="51">
        <f t="shared" si="44"/>
        <v>516691.13903055887</v>
      </c>
      <c r="AU83" s="51">
        <f t="shared" si="44"/>
        <v>526303.29175721528</v>
      </c>
      <c r="AV83" s="51">
        <f t="shared" si="44"/>
        <v>536265.55862120748</v>
      </c>
      <c r="AW83" s="51">
        <f t="shared" si="44"/>
        <v>546596.23408533155</v>
      </c>
      <c r="AX83" s="51">
        <f t="shared" si="44"/>
        <v>557314.67026093951</v>
      </c>
      <c r="AY83" s="51">
        <f t="shared" si="44"/>
        <v>568441.33958934911</v>
      </c>
      <c r="AZ83" s="51">
        <f t="shared" si="44"/>
        <v>579997.90126495389</v>
      </c>
      <c r="BA83" s="51">
        <f t="shared" si="44"/>
        <v>592007.27162406314</v>
      </c>
      <c r="BB83" s="51">
        <f t="shared" si="44"/>
        <v>604493.69873695006</v>
      </c>
      <c r="BC83" s="51">
        <f t="shared" si="44"/>
        <v>617482.84145482548</v>
      </c>
      <c r="BD83" s="51">
        <f t="shared" si="44"/>
        <v>631001.85317857249</v>
      </c>
      <c r="BE83" s="51">
        <f t="shared" si="44"/>
        <v>645079.4706320751</v>
      </c>
      <c r="BF83" s="51">
        <f t="shared" si="44"/>
        <v>659746.10793997056</v>
      </c>
      <c r="BG83" s="51">
        <f t="shared" si="44"/>
        <v>675033.95632763265</v>
      </c>
      <c r="BH83" s="51">
        <f t="shared" si="44"/>
        <v>690977.08978029003</v>
      </c>
      <c r="BI83" s="51">
        <f t="shared" si="44"/>
        <v>707611.57701840193</v>
      </c>
    </row>
    <row r="87" spans="1:61" x14ac:dyDescent="0.25">
      <c r="A87" s="4"/>
    </row>
    <row r="91" spans="1:61" x14ac:dyDescent="0.25">
      <c r="A91" s="4"/>
    </row>
    <row r="92" spans="1:61" x14ac:dyDescent="0.25">
      <c r="A92" s="59"/>
    </row>
    <row r="93" spans="1:61" x14ac:dyDescent="0.25">
      <c r="A93" s="59"/>
    </row>
    <row r="97" spans="1:1" x14ac:dyDescent="0.25">
      <c r="A97" s="4" t="s">
        <v>185</v>
      </c>
    </row>
    <row r="98" spans="1:1" x14ac:dyDescent="0.25">
      <c r="A98" s="59" t="s">
        <v>186</v>
      </c>
    </row>
    <row r="99" spans="1:1" x14ac:dyDescent="0.25">
      <c r="A99" s="59" t="s">
        <v>187</v>
      </c>
    </row>
    <row r="100" spans="1:1" x14ac:dyDescent="0.25">
      <c r="A100" s="59" t="s">
        <v>188</v>
      </c>
    </row>
    <row r="102" spans="1:1" x14ac:dyDescent="0.25">
      <c r="A102" s="59" t="s">
        <v>189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9"/>
  <sheetViews>
    <sheetView workbookViewId="0">
      <selection activeCell="B19" sqref="B19"/>
    </sheetView>
  </sheetViews>
  <sheetFormatPr defaultColWidth="8.85546875" defaultRowHeight="15" x14ac:dyDescent="0.25"/>
  <cols>
    <col min="1" max="1" width="36" customWidth="1"/>
    <col min="2" max="2" width="14.28515625" bestFit="1" customWidth="1"/>
  </cols>
  <sheetData>
    <row r="2" spans="1:2" x14ac:dyDescent="0.25">
      <c r="A2" s="59" t="s">
        <v>205</v>
      </c>
      <c r="B2" s="49">
        <v>75000</v>
      </c>
    </row>
    <row r="3" spans="1:2" x14ac:dyDescent="0.25">
      <c r="A3" s="59" t="s">
        <v>202</v>
      </c>
      <c r="B3" s="49">
        <v>130000</v>
      </c>
    </row>
    <row r="4" spans="1:2" x14ac:dyDescent="0.25">
      <c r="A4" s="4" t="s">
        <v>10</v>
      </c>
      <c r="B4" s="52">
        <f>SUM(B2:B3)</f>
        <v>205000</v>
      </c>
    </row>
    <row r="5" spans="1:2" x14ac:dyDescent="0.25">
      <c r="A5" s="59" t="s">
        <v>203</v>
      </c>
      <c r="B5" s="49">
        <v>20000</v>
      </c>
    </row>
    <row r="6" spans="1:2" x14ac:dyDescent="0.25">
      <c r="A6" s="59" t="s">
        <v>204</v>
      </c>
      <c r="B6" s="49">
        <v>50000</v>
      </c>
    </row>
    <row r="7" spans="1:2" x14ac:dyDescent="0.25">
      <c r="A7" s="4" t="s">
        <v>206</v>
      </c>
      <c r="B7" s="52">
        <f>SUM(B5:B6)</f>
        <v>70000</v>
      </c>
    </row>
    <row r="14" spans="1:2" x14ac:dyDescent="0.25">
      <c r="A14" s="68"/>
    </row>
    <row r="15" spans="1:2" x14ac:dyDescent="0.25">
      <c r="A15" s="68"/>
    </row>
    <row r="16" spans="1:2" x14ac:dyDescent="0.25">
      <c r="A16" s="68"/>
    </row>
    <row r="17" spans="1:1" x14ac:dyDescent="0.25">
      <c r="A17" s="68"/>
    </row>
    <row r="18" spans="1:1" x14ac:dyDescent="0.25">
      <c r="A18" s="68"/>
    </row>
    <row r="19" spans="1:1" x14ac:dyDescent="0.25">
      <c r="A19" s="6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I26"/>
  <sheetViews>
    <sheetView topLeftCell="A8" workbookViewId="0">
      <selection activeCell="A30" sqref="A30"/>
    </sheetView>
  </sheetViews>
  <sheetFormatPr defaultColWidth="8.85546875" defaultRowHeight="15" x14ac:dyDescent="0.25"/>
  <cols>
    <col min="1" max="1" width="54" customWidth="1"/>
    <col min="2" max="4" width="14.28515625" bestFit="1" customWidth="1"/>
    <col min="5" max="6" width="12.5703125" bestFit="1" customWidth="1"/>
    <col min="7" max="7" width="14.28515625" bestFit="1" customWidth="1"/>
    <col min="8" max="44" width="12.5703125" bestFit="1" customWidth="1"/>
    <col min="45" max="45" width="10.5703125" bestFit="1" customWidth="1"/>
    <col min="46" max="49" width="12.5703125" bestFit="1" customWidth="1"/>
    <col min="50" max="50" width="13.42578125" bestFit="1" customWidth="1"/>
    <col min="51" max="52" width="12.5703125" bestFit="1" customWidth="1"/>
    <col min="53" max="53" width="13.42578125" bestFit="1" customWidth="1"/>
    <col min="54" max="56" width="12.5703125" bestFit="1" customWidth="1"/>
    <col min="57" max="57" width="12.28515625" bestFit="1" customWidth="1"/>
    <col min="58" max="60" width="12.5703125" bestFit="1" customWidth="1"/>
    <col min="61" max="61" width="13.42578125" bestFit="1" customWidth="1"/>
  </cols>
  <sheetData>
    <row r="2" spans="1:61" x14ac:dyDescent="0.25">
      <c r="A2" s="59" t="s">
        <v>217</v>
      </c>
      <c r="B2" s="20">
        <v>250</v>
      </c>
    </row>
    <row r="4" spans="1:61" x14ac:dyDescent="0.25">
      <c r="A4" t="s">
        <v>17</v>
      </c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J4">
        <v>9</v>
      </c>
      <c r="K4">
        <v>10</v>
      </c>
      <c r="L4">
        <v>11</v>
      </c>
      <c r="M4">
        <v>12</v>
      </c>
      <c r="N4">
        <v>13</v>
      </c>
      <c r="O4">
        <v>14</v>
      </c>
      <c r="P4">
        <v>15</v>
      </c>
      <c r="Q4">
        <v>16</v>
      </c>
      <c r="R4">
        <v>17</v>
      </c>
      <c r="S4">
        <v>18</v>
      </c>
      <c r="T4">
        <v>19</v>
      </c>
      <c r="U4">
        <v>20</v>
      </c>
      <c r="V4">
        <v>21</v>
      </c>
      <c r="W4">
        <v>22</v>
      </c>
      <c r="X4">
        <v>23</v>
      </c>
      <c r="Y4">
        <v>24</v>
      </c>
      <c r="Z4">
        <v>25</v>
      </c>
      <c r="AA4">
        <v>26</v>
      </c>
      <c r="AB4">
        <v>27</v>
      </c>
      <c r="AC4">
        <v>28</v>
      </c>
      <c r="AD4">
        <v>29</v>
      </c>
      <c r="AE4">
        <v>30</v>
      </c>
      <c r="AF4">
        <v>31</v>
      </c>
      <c r="AG4">
        <v>32</v>
      </c>
      <c r="AH4">
        <v>33</v>
      </c>
      <c r="AI4">
        <v>34</v>
      </c>
      <c r="AJ4">
        <v>35</v>
      </c>
      <c r="AK4">
        <v>36</v>
      </c>
      <c r="AL4">
        <v>37</v>
      </c>
      <c r="AM4">
        <v>38</v>
      </c>
      <c r="AN4">
        <v>39</v>
      </c>
      <c r="AO4">
        <v>40</v>
      </c>
      <c r="AP4">
        <v>41</v>
      </c>
      <c r="AQ4">
        <v>42</v>
      </c>
      <c r="AR4">
        <v>43</v>
      </c>
      <c r="AS4">
        <v>44</v>
      </c>
      <c r="AT4">
        <v>45</v>
      </c>
      <c r="AU4">
        <v>46</v>
      </c>
      <c r="AV4">
        <v>47</v>
      </c>
      <c r="AW4">
        <v>48</v>
      </c>
      <c r="AX4">
        <v>49</v>
      </c>
      <c r="AY4">
        <v>50</v>
      </c>
      <c r="AZ4">
        <v>51</v>
      </c>
      <c r="BA4">
        <v>52</v>
      </c>
      <c r="BB4">
        <v>53</v>
      </c>
      <c r="BC4">
        <v>54</v>
      </c>
      <c r="BD4">
        <v>55</v>
      </c>
      <c r="BE4">
        <v>56</v>
      </c>
      <c r="BF4">
        <v>57</v>
      </c>
      <c r="BG4">
        <v>58</v>
      </c>
      <c r="BH4">
        <v>59</v>
      </c>
      <c r="BI4">
        <v>60</v>
      </c>
    </row>
    <row r="6" spans="1:61" x14ac:dyDescent="0.25">
      <c r="A6" s="59" t="s">
        <v>240</v>
      </c>
      <c r="B6">
        <v>1000</v>
      </c>
      <c r="C6" s="60">
        <f>IF(B10&lt;500,1000,0)</f>
        <v>0</v>
      </c>
      <c r="D6" s="60">
        <f t="shared" ref="D6:BI6" si="0">IF(C10&lt;500,1000,0)</f>
        <v>0</v>
      </c>
      <c r="E6" s="60">
        <f t="shared" si="0"/>
        <v>0</v>
      </c>
      <c r="F6" s="60">
        <f t="shared" si="0"/>
        <v>0</v>
      </c>
      <c r="G6" s="60">
        <f>IF(F10&lt;500,1000,0)</f>
        <v>1000</v>
      </c>
      <c r="H6" s="60">
        <f t="shared" si="0"/>
        <v>0</v>
      </c>
      <c r="I6" s="60">
        <f t="shared" si="0"/>
        <v>0</v>
      </c>
      <c r="J6" s="60">
        <f t="shared" si="0"/>
        <v>1000</v>
      </c>
      <c r="K6" s="60">
        <f t="shared" si="0"/>
        <v>0</v>
      </c>
      <c r="L6" s="60">
        <f t="shared" si="0"/>
        <v>0</v>
      </c>
      <c r="M6" s="60">
        <f t="shared" si="0"/>
        <v>1000</v>
      </c>
      <c r="N6" s="60">
        <f t="shared" si="0"/>
        <v>0</v>
      </c>
      <c r="O6" s="60">
        <f t="shared" si="0"/>
        <v>0</v>
      </c>
      <c r="P6" s="60">
        <f t="shared" si="0"/>
        <v>1000</v>
      </c>
      <c r="Q6" s="60">
        <f t="shared" si="0"/>
        <v>0</v>
      </c>
      <c r="R6" s="60">
        <f t="shared" si="0"/>
        <v>1000</v>
      </c>
      <c r="S6" s="60">
        <f t="shared" si="0"/>
        <v>0</v>
      </c>
      <c r="T6" s="60">
        <f t="shared" si="0"/>
        <v>0</v>
      </c>
      <c r="U6" s="60">
        <f t="shared" si="0"/>
        <v>1000</v>
      </c>
      <c r="V6" s="60">
        <f t="shared" si="0"/>
        <v>0</v>
      </c>
      <c r="W6" s="60">
        <f t="shared" si="0"/>
        <v>1000</v>
      </c>
      <c r="X6" s="60">
        <f t="shared" si="0"/>
        <v>0</v>
      </c>
      <c r="Y6" s="60">
        <f t="shared" si="0"/>
        <v>0</v>
      </c>
      <c r="Z6" s="60">
        <f t="shared" si="0"/>
        <v>1000</v>
      </c>
      <c r="AA6" s="60">
        <f t="shared" si="0"/>
        <v>0</v>
      </c>
      <c r="AB6" s="60">
        <f t="shared" si="0"/>
        <v>1000</v>
      </c>
      <c r="AC6" s="60">
        <f t="shared" si="0"/>
        <v>0</v>
      </c>
      <c r="AD6" s="60">
        <f t="shared" si="0"/>
        <v>1000</v>
      </c>
      <c r="AE6" s="60">
        <f t="shared" si="0"/>
        <v>0</v>
      </c>
      <c r="AF6" s="60">
        <f t="shared" si="0"/>
        <v>1000</v>
      </c>
      <c r="AG6" s="60">
        <f t="shared" si="0"/>
        <v>0</v>
      </c>
      <c r="AH6" s="60">
        <f t="shared" si="0"/>
        <v>1000</v>
      </c>
      <c r="AI6" s="60">
        <f t="shared" si="0"/>
        <v>0</v>
      </c>
      <c r="AJ6" s="60">
        <f t="shared" si="0"/>
        <v>1000</v>
      </c>
      <c r="AK6" s="60">
        <f t="shared" si="0"/>
        <v>0</v>
      </c>
      <c r="AL6" s="60">
        <f t="shared" si="0"/>
        <v>1000</v>
      </c>
      <c r="AM6" s="60">
        <f t="shared" si="0"/>
        <v>0</v>
      </c>
      <c r="AN6" s="60">
        <f t="shared" si="0"/>
        <v>1000</v>
      </c>
      <c r="AO6" s="60">
        <f t="shared" si="0"/>
        <v>0</v>
      </c>
      <c r="AP6" s="60">
        <f t="shared" si="0"/>
        <v>1000</v>
      </c>
      <c r="AQ6" s="60">
        <f t="shared" si="0"/>
        <v>0</v>
      </c>
      <c r="AR6" s="60">
        <f t="shared" si="0"/>
        <v>1000</v>
      </c>
      <c r="AS6" s="60">
        <f t="shared" si="0"/>
        <v>0</v>
      </c>
      <c r="AT6" s="60">
        <f t="shared" si="0"/>
        <v>1000</v>
      </c>
      <c r="AU6" s="60">
        <f t="shared" si="0"/>
        <v>1000</v>
      </c>
      <c r="AV6" s="60">
        <f t="shared" si="0"/>
        <v>0</v>
      </c>
      <c r="AW6" s="60">
        <f t="shared" si="0"/>
        <v>1000</v>
      </c>
      <c r="AX6" s="60">
        <f t="shared" si="0"/>
        <v>0</v>
      </c>
      <c r="AY6" s="60">
        <f t="shared" si="0"/>
        <v>1000</v>
      </c>
      <c r="AZ6" s="60">
        <f t="shared" si="0"/>
        <v>1000</v>
      </c>
      <c r="BA6" s="60">
        <f t="shared" si="0"/>
        <v>0</v>
      </c>
      <c r="BB6" s="60">
        <f t="shared" si="0"/>
        <v>1000</v>
      </c>
      <c r="BC6" s="60">
        <f t="shared" si="0"/>
        <v>1000</v>
      </c>
      <c r="BD6" s="60">
        <f t="shared" si="0"/>
        <v>1000</v>
      </c>
      <c r="BE6" s="60">
        <f t="shared" si="0"/>
        <v>0</v>
      </c>
      <c r="BF6" s="60">
        <f t="shared" si="0"/>
        <v>1000</v>
      </c>
      <c r="BG6" s="60">
        <f t="shared" si="0"/>
        <v>1000</v>
      </c>
      <c r="BH6" s="60">
        <f t="shared" si="0"/>
        <v>1000</v>
      </c>
      <c r="BI6" s="60">
        <f t="shared" si="0"/>
        <v>0</v>
      </c>
    </row>
    <row r="7" spans="1:61" x14ac:dyDescent="0.25">
      <c r="A7" s="59" t="s">
        <v>213</v>
      </c>
      <c r="B7" s="48">
        <v>980</v>
      </c>
      <c r="C7" s="48">
        <v>980</v>
      </c>
      <c r="D7" s="48">
        <v>980</v>
      </c>
      <c r="E7" s="48">
        <v>980</v>
      </c>
      <c r="F7" s="48">
        <v>980</v>
      </c>
      <c r="G7" s="48">
        <v>980</v>
      </c>
      <c r="H7" s="48">
        <v>980</v>
      </c>
      <c r="I7" s="48">
        <v>980</v>
      </c>
      <c r="J7" s="48">
        <v>980</v>
      </c>
      <c r="K7" s="48">
        <v>980</v>
      </c>
      <c r="L7" s="48">
        <v>980</v>
      </c>
      <c r="M7" s="48">
        <v>980</v>
      </c>
      <c r="N7" s="48">
        <v>980</v>
      </c>
      <c r="O7" s="48">
        <v>980</v>
      </c>
      <c r="P7" s="48">
        <v>980</v>
      </c>
      <c r="Q7" s="48">
        <v>980</v>
      </c>
      <c r="R7" s="48">
        <v>980</v>
      </c>
      <c r="S7" s="48">
        <v>980</v>
      </c>
      <c r="T7" s="48">
        <v>980</v>
      </c>
      <c r="U7" s="48">
        <v>980</v>
      </c>
      <c r="V7" s="48">
        <v>980</v>
      </c>
      <c r="W7" s="48">
        <v>980</v>
      </c>
      <c r="X7" s="48">
        <v>980</v>
      </c>
      <c r="Y7" s="48">
        <v>980</v>
      </c>
      <c r="Z7" s="48">
        <v>980</v>
      </c>
      <c r="AA7" s="48">
        <v>980</v>
      </c>
      <c r="AB7" s="48">
        <v>980</v>
      </c>
      <c r="AC7" s="48">
        <v>980</v>
      </c>
      <c r="AD7" s="48">
        <v>980</v>
      </c>
      <c r="AE7" s="48">
        <v>980</v>
      </c>
      <c r="AF7" s="48">
        <v>980</v>
      </c>
      <c r="AG7" s="48">
        <v>980</v>
      </c>
      <c r="AH7" s="48">
        <v>980</v>
      </c>
      <c r="AI7" s="48">
        <v>980</v>
      </c>
      <c r="AJ7" s="48">
        <v>980</v>
      </c>
      <c r="AK7" s="48">
        <v>980</v>
      </c>
      <c r="AL7" s="48">
        <v>980</v>
      </c>
      <c r="AM7" s="48">
        <v>980</v>
      </c>
      <c r="AN7" s="48">
        <v>980</v>
      </c>
      <c r="AO7" s="48">
        <v>980</v>
      </c>
      <c r="AP7" s="48">
        <v>980</v>
      </c>
      <c r="AQ7" s="48">
        <v>980</v>
      </c>
      <c r="AR7" s="48">
        <v>980</v>
      </c>
      <c r="AS7" s="48">
        <v>980</v>
      </c>
      <c r="AT7" s="48">
        <v>980</v>
      </c>
      <c r="AU7" s="48">
        <v>980</v>
      </c>
      <c r="AV7" s="48">
        <v>980</v>
      </c>
      <c r="AW7" s="48">
        <v>980</v>
      </c>
      <c r="AX7" s="48">
        <v>980</v>
      </c>
      <c r="AY7" s="48">
        <v>980</v>
      </c>
      <c r="AZ7" s="48">
        <v>980</v>
      </c>
      <c r="BA7" s="48">
        <v>980</v>
      </c>
      <c r="BB7" s="48">
        <v>980</v>
      </c>
      <c r="BC7" s="48">
        <v>980</v>
      </c>
      <c r="BD7" s="48">
        <v>980</v>
      </c>
      <c r="BE7" s="48">
        <v>980</v>
      </c>
      <c r="BF7" s="48">
        <v>980</v>
      </c>
      <c r="BG7" s="48">
        <v>980</v>
      </c>
      <c r="BH7" s="48">
        <v>980</v>
      </c>
      <c r="BI7" s="48">
        <v>980</v>
      </c>
    </row>
    <row r="8" spans="1:61" x14ac:dyDescent="0.25">
      <c r="A8" s="59" t="s">
        <v>214</v>
      </c>
      <c r="B8" s="51">
        <f>B6*B7</f>
        <v>980000</v>
      </c>
      <c r="C8" s="51">
        <f t="shared" ref="C8:BI8" si="1">C6*C7</f>
        <v>0</v>
      </c>
      <c r="D8" s="51">
        <f t="shared" si="1"/>
        <v>0</v>
      </c>
      <c r="E8" s="51">
        <f t="shared" si="1"/>
        <v>0</v>
      </c>
      <c r="F8" s="51">
        <f t="shared" si="1"/>
        <v>0</v>
      </c>
      <c r="G8" s="51">
        <f t="shared" si="1"/>
        <v>980000</v>
      </c>
      <c r="H8" s="51">
        <f t="shared" si="1"/>
        <v>0</v>
      </c>
      <c r="I8" s="51">
        <f t="shared" si="1"/>
        <v>0</v>
      </c>
      <c r="J8" s="51">
        <f t="shared" si="1"/>
        <v>980000</v>
      </c>
      <c r="K8" s="51">
        <f t="shared" si="1"/>
        <v>0</v>
      </c>
      <c r="L8" s="51">
        <f t="shared" si="1"/>
        <v>0</v>
      </c>
      <c r="M8" s="51">
        <f t="shared" si="1"/>
        <v>980000</v>
      </c>
      <c r="N8" s="51">
        <f t="shared" si="1"/>
        <v>0</v>
      </c>
      <c r="O8" s="51">
        <f t="shared" si="1"/>
        <v>0</v>
      </c>
      <c r="P8" s="51">
        <f t="shared" si="1"/>
        <v>980000</v>
      </c>
      <c r="Q8" s="51">
        <f t="shared" si="1"/>
        <v>0</v>
      </c>
      <c r="R8" s="51">
        <f t="shared" si="1"/>
        <v>980000</v>
      </c>
      <c r="S8" s="51">
        <f t="shared" si="1"/>
        <v>0</v>
      </c>
      <c r="T8" s="51">
        <f t="shared" si="1"/>
        <v>0</v>
      </c>
      <c r="U8" s="51">
        <f t="shared" si="1"/>
        <v>980000</v>
      </c>
      <c r="V8" s="51">
        <f t="shared" si="1"/>
        <v>0</v>
      </c>
      <c r="W8" s="51">
        <f t="shared" si="1"/>
        <v>980000</v>
      </c>
      <c r="X8" s="51">
        <f t="shared" si="1"/>
        <v>0</v>
      </c>
      <c r="Y8" s="51">
        <f t="shared" si="1"/>
        <v>0</v>
      </c>
      <c r="Z8" s="51">
        <f t="shared" si="1"/>
        <v>980000</v>
      </c>
      <c r="AA8" s="51">
        <f t="shared" si="1"/>
        <v>0</v>
      </c>
      <c r="AB8" s="51">
        <f t="shared" si="1"/>
        <v>980000</v>
      </c>
      <c r="AC8" s="51">
        <f t="shared" si="1"/>
        <v>0</v>
      </c>
      <c r="AD8" s="51">
        <f t="shared" si="1"/>
        <v>980000</v>
      </c>
      <c r="AE8" s="51">
        <f t="shared" si="1"/>
        <v>0</v>
      </c>
      <c r="AF8" s="51">
        <f t="shared" si="1"/>
        <v>980000</v>
      </c>
      <c r="AG8" s="51">
        <f t="shared" si="1"/>
        <v>0</v>
      </c>
      <c r="AH8" s="51">
        <f t="shared" si="1"/>
        <v>980000</v>
      </c>
      <c r="AI8" s="51">
        <f t="shared" si="1"/>
        <v>0</v>
      </c>
      <c r="AJ8" s="51">
        <f t="shared" si="1"/>
        <v>980000</v>
      </c>
      <c r="AK8" s="51">
        <f t="shared" si="1"/>
        <v>0</v>
      </c>
      <c r="AL8" s="51">
        <f t="shared" si="1"/>
        <v>980000</v>
      </c>
      <c r="AM8" s="51">
        <f t="shared" si="1"/>
        <v>0</v>
      </c>
      <c r="AN8" s="51">
        <f t="shared" si="1"/>
        <v>980000</v>
      </c>
      <c r="AO8" s="51">
        <f t="shared" si="1"/>
        <v>0</v>
      </c>
      <c r="AP8" s="51">
        <f t="shared" si="1"/>
        <v>980000</v>
      </c>
      <c r="AQ8" s="51">
        <f t="shared" si="1"/>
        <v>0</v>
      </c>
      <c r="AR8" s="51">
        <f t="shared" si="1"/>
        <v>980000</v>
      </c>
      <c r="AS8" s="51">
        <f t="shared" si="1"/>
        <v>0</v>
      </c>
      <c r="AT8" s="51">
        <f t="shared" si="1"/>
        <v>980000</v>
      </c>
      <c r="AU8" s="51">
        <f t="shared" si="1"/>
        <v>980000</v>
      </c>
      <c r="AV8" s="51">
        <f t="shared" si="1"/>
        <v>0</v>
      </c>
      <c r="AW8" s="51">
        <f t="shared" si="1"/>
        <v>980000</v>
      </c>
      <c r="AX8" s="51">
        <f t="shared" si="1"/>
        <v>0</v>
      </c>
      <c r="AY8" s="51">
        <f t="shared" si="1"/>
        <v>980000</v>
      </c>
      <c r="AZ8" s="51">
        <f t="shared" si="1"/>
        <v>980000</v>
      </c>
      <c r="BA8" s="51">
        <f t="shared" si="1"/>
        <v>0</v>
      </c>
      <c r="BB8" s="51">
        <f t="shared" si="1"/>
        <v>980000</v>
      </c>
      <c r="BC8" s="51">
        <f t="shared" si="1"/>
        <v>980000</v>
      </c>
      <c r="BD8" s="51">
        <f t="shared" si="1"/>
        <v>980000</v>
      </c>
      <c r="BE8" s="51">
        <f t="shared" si="1"/>
        <v>0</v>
      </c>
      <c r="BF8" s="51">
        <f t="shared" si="1"/>
        <v>980000</v>
      </c>
      <c r="BG8" s="51">
        <f t="shared" si="1"/>
        <v>980000</v>
      </c>
      <c r="BH8" s="51">
        <f t="shared" si="1"/>
        <v>980000</v>
      </c>
      <c r="BI8" s="51">
        <f t="shared" si="1"/>
        <v>0</v>
      </c>
    </row>
    <row r="9" spans="1:61" x14ac:dyDescent="0.25">
      <c r="A9" s="59" t="s">
        <v>215</v>
      </c>
      <c r="B9" s="60">
        <f>RevenueModule!B20</f>
        <v>0</v>
      </c>
      <c r="C9" s="60">
        <f>RevenueModule!C20</f>
        <v>0</v>
      </c>
      <c r="D9" s="60">
        <f>RevenueModule!D20</f>
        <v>0</v>
      </c>
      <c r="E9" s="60">
        <f>RevenueModule!E20</f>
        <v>329.85923187829331</v>
      </c>
      <c r="F9" s="60">
        <f>RevenueModule!F20</f>
        <v>333.89927466582628</v>
      </c>
      <c r="G9" s="60">
        <f>RevenueModule!G20</f>
        <v>338.01233443459387</v>
      </c>
      <c r="H9" s="60">
        <f>RevenueModule!H20</f>
        <v>342.20086860776684</v>
      </c>
      <c r="I9" s="60">
        <f>RevenueModule!I20</f>
        <v>346.46745873600844</v>
      </c>
      <c r="J9" s="60">
        <f>RevenueModule!J20</f>
        <v>350.81481766231565</v>
      </c>
      <c r="K9" s="60">
        <f>RevenueModule!K20</f>
        <v>355.2457971148873</v>
      </c>
      <c r="L9" s="60">
        <f>RevenueModule!L20</f>
        <v>359.76339575381809</v>
      </c>
      <c r="M9" s="60">
        <f>RevenueModule!M20</f>
        <v>364.3707676989801</v>
      </c>
      <c r="N9" s="60">
        <f>RevenueModule!N20</f>
        <v>369.07123156810587</v>
      </c>
      <c r="O9" s="60">
        <f>RevenueModule!O20</f>
        <v>373.86828005583885</v>
      </c>
      <c r="P9" s="60">
        <f>RevenueModule!P20</f>
        <v>378.76559008637895</v>
      </c>
      <c r="Q9" s="60">
        <f>RevenueModule!Q20</f>
        <v>383.76703357432137</v>
      </c>
      <c r="R9" s="60">
        <f>RevenueModule!R20</f>
        <v>388.87668883037901</v>
      </c>
      <c r="S9" s="60">
        <f>RevenueModule!S20</f>
        <v>394.09885265089662</v>
      </c>
      <c r="T9" s="60">
        <f>RevenueModule!T20</f>
        <v>399.43805313241569</v>
      </c>
      <c r="U9" s="60">
        <f>RevenueModule!U20</f>
        <v>404.89906325504404</v>
      </c>
      <c r="V9" s="60">
        <f>RevenueModule!V20</f>
        <v>410.48691528103018</v>
      </c>
      <c r="W9" s="60">
        <f>RevenueModule!W20</f>
        <v>416.2069160177449</v>
      </c>
      <c r="X9" s="60">
        <f>RevenueModule!X20</f>
        <v>422.06466299724991</v>
      </c>
      <c r="Y9" s="60">
        <f>RevenueModule!Y20</f>
        <v>428.06606162778564</v>
      </c>
      <c r="Z9" s="60">
        <f>RevenueModule!Z20</f>
        <v>434.21734337585775</v>
      </c>
      <c r="AA9" s="60">
        <f>RevenueModule!AA20</f>
        <v>440.52508504114866</v>
      </c>
      <c r="AB9" s="60">
        <f>RevenueModule!AB20</f>
        <v>446.99622919024193</v>
      </c>
      <c r="AC9" s="60">
        <f>RevenueModule!AC20</f>
        <v>453.63810581913987</v>
      </c>
      <c r="AD9" s="60">
        <f>RevenueModule!AD20</f>
        <v>460.45845531878291</v>
      </c>
      <c r="AE9" s="60">
        <f>RevenueModule!AE20</f>
        <v>467.46545282226799</v>
      </c>
      <c r="AF9" s="60">
        <f>RevenueModule!AF20</f>
        <v>474.66773401722338</v>
      </c>
      <c r="AG9" s="60">
        <f>RevenueModule!AG20</f>
        <v>482.07442251184028</v>
      </c>
      <c r="AH9" s="60">
        <f>RevenueModule!AH20</f>
        <v>489.69515884841672</v>
      </c>
      <c r="AI9" s="60">
        <f>RevenueModule!AI20</f>
        <v>497.54013126394335</v>
      </c>
      <c r="AJ9" s="60">
        <f>RevenueModule!AJ20</f>
        <v>505.62010830327841</v>
      </c>
      <c r="AK9" s="60">
        <f>RevenueModule!AK20</f>
        <v>513.94647339684559</v>
      </c>
      <c r="AL9" s="60">
        <f>RevenueModule!AL20</f>
        <v>522.53126152155198</v>
      </c>
      <c r="AM9" s="60">
        <f>RevenueModule!AM20</f>
        <v>531.38719807080838</v>
      </c>
      <c r="AN9" s="60">
        <f>RevenueModule!AN20</f>
        <v>540.52774006714105</v>
      </c>
      <c r="AO9" s="60">
        <f>RevenueModule!AO20</f>
        <v>549.96711985896195</v>
      </c>
      <c r="AP9" s="60">
        <f>RevenueModule!AP20</f>
        <v>559.72039145162023</v>
      </c>
      <c r="AQ9" s="60">
        <f>RevenueModule!AQ20</f>
        <v>569.80347963194686</v>
      </c>
      <c r="AR9" s="60">
        <f>RevenueModule!AR20</f>
        <v>580.23323205512202</v>
      </c>
      <c r="AS9" s="60">
        <f>RevenueModule!AS20</f>
        <v>591.02747447291267</v>
      </c>
      <c r="AT9" s="60">
        <f>RevenueModule!AT20</f>
        <v>602.20506929315798</v>
      </c>
      <c r="AU9" s="60">
        <f>RevenueModule!AU20</f>
        <v>613.78597767185749</v>
      </c>
      <c r="AV9" s="60">
        <f>RevenueModule!AV20</f>
        <v>625.79132535140468</v>
      </c>
      <c r="AW9" s="60">
        <f>RevenueModule!AW20</f>
        <v>638.24347247141407</v>
      </c>
      <c r="AX9" s="60">
        <f>RevenueModule!AX20</f>
        <v>651.16608759229769</v>
      </c>
      <c r="AY9" s="60">
        <f>RevenueModule!AY20</f>
        <v>664.58422618626253</v>
      </c>
      <c r="AZ9" s="60">
        <f>RevenueModule!AZ20</f>
        <v>678.52441386581188</v>
      </c>
      <c r="BA9" s="60">
        <f>RevenueModule!BA20</f>
        <v>693.01473463616355</v>
      </c>
      <c r="BB9" s="60">
        <f>RevenueModule!BB20</f>
        <v>708.08492447532944</v>
      </c>
      <c r="BC9" s="60">
        <f>RevenueModule!BC20</f>
        <v>723.7664705639653</v>
      </c>
      <c r="BD9" s="60">
        <f>RevenueModule!BD20</f>
        <v>740.09271650658945</v>
      </c>
      <c r="BE9" s="60">
        <f>RevenueModule!BE20</f>
        <v>757.09897390642857</v>
      </c>
      <c r="BF9" s="60">
        <f>RevenueModule!BF20</f>
        <v>774.82264067806364</v>
      </c>
      <c r="BG9" s="60">
        <f>RevenueModule!BG20</f>
        <v>793.30332650528271</v>
      </c>
      <c r="BH9" s="60">
        <f>RevenueModule!BH20</f>
        <v>812.58298587619856</v>
      </c>
      <c r="BI9" s="60">
        <f>RevenueModule!BI20</f>
        <v>832.70605915381532</v>
      </c>
    </row>
    <row r="10" spans="1:61" x14ac:dyDescent="0.25">
      <c r="A10" s="59" t="s">
        <v>216</v>
      </c>
      <c r="B10" s="60">
        <f>B6-B9</f>
        <v>1000</v>
      </c>
      <c r="C10" s="60">
        <f>B10-C9+C6</f>
        <v>1000</v>
      </c>
      <c r="D10" s="60">
        <f t="shared" ref="D10:BI10" si="2">C10-D9+D6</f>
        <v>1000</v>
      </c>
      <c r="E10" s="60">
        <f t="shared" si="2"/>
        <v>670.14076812170674</v>
      </c>
      <c r="F10" s="60">
        <f t="shared" si="2"/>
        <v>336.24149345588046</v>
      </c>
      <c r="G10" s="60">
        <f t="shared" si="2"/>
        <v>998.22915902128659</v>
      </c>
      <c r="H10" s="60">
        <f t="shared" si="2"/>
        <v>656.0282904135197</v>
      </c>
      <c r="I10" s="60">
        <f t="shared" si="2"/>
        <v>309.56083167751126</v>
      </c>
      <c r="J10" s="60">
        <f t="shared" si="2"/>
        <v>958.74601401519567</v>
      </c>
      <c r="K10" s="60">
        <f t="shared" si="2"/>
        <v>603.50021690030837</v>
      </c>
      <c r="L10" s="60">
        <f t="shared" si="2"/>
        <v>243.73682114649029</v>
      </c>
      <c r="M10" s="60">
        <f t="shared" si="2"/>
        <v>879.36605344751024</v>
      </c>
      <c r="N10" s="60">
        <f t="shared" si="2"/>
        <v>510.29482187940437</v>
      </c>
      <c r="O10" s="60">
        <f t="shared" si="2"/>
        <v>136.42654182356551</v>
      </c>
      <c r="P10" s="60">
        <f t="shared" si="2"/>
        <v>757.66095173718656</v>
      </c>
      <c r="Q10" s="60">
        <f t="shared" si="2"/>
        <v>373.89391816286519</v>
      </c>
      <c r="R10" s="60">
        <f t="shared" si="2"/>
        <v>985.01722933248618</v>
      </c>
      <c r="S10" s="60">
        <f t="shared" si="2"/>
        <v>590.91837668158951</v>
      </c>
      <c r="T10" s="60">
        <f t="shared" si="2"/>
        <v>191.48032354917382</v>
      </c>
      <c r="U10" s="60">
        <f t="shared" si="2"/>
        <v>786.58126029412983</v>
      </c>
      <c r="V10" s="60">
        <f t="shared" si="2"/>
        <v>376.09434501309966</v>
      </c>
      <c r="W10" s="60">
        <f t="shared" si="2"/>
        <v>959.88742899535475</v>
      </c>
      <c r="X10" s="60">
        <f t="shared" si="2"/>
        <v>537.82276599810484</v>
      </c>
      <c r="Y10" s="60">
        <f t="shared" si="2"/>
        <v>109.7567043703192</v>
      </c>
      <c r="Z10" s="60">
        <f t="shared" si="2"/>
        <v>675.5393609944615</v>
      </c>
      <c r="AA10" s="60">
        <f t="shared" si="2"/>
        <v>235.01427595331285</v>
      </c>
      <c r="AB10" s="60">
        <f t="shared" si="2"/>
        <v>788.01804676307097</v>
      </c>
      <c r="AC10" s="60">
        <f t="shared" si="2"/>
        <v>334.3799409439311</v>
      </c>
      <c r="AD10" s="60">
        <f t="shared" si="2"/>
        <v>873.92148562514819</v>
      </c>
      <c r="AE10" s="60">
        <f t="shared" si="2"/>
        <v>406.4560328028802</v>
      </c>
      <c r="AF10" s="60">
        <f t="shared" si="2"/>
        <v>931.78829878565682</v>
      </c>
      <c r="AG10" s="60">
        <f t="shared" si="2"/>
        <v>449.71387627381654</v>
      </c>
      <c r="AH10" s="60">
        <f t="shared" si="2"/>
        <v>960.01871742539981</v>
      </c>
      <c r="AI10" s="60">
        <f t="shared" si="2"/>
        <v>462.47858616145646</v>
      </c>
      <c r="AJ10" s="60">
        <f t="shared" si="2"/>
        <v>956.85847785817805</v>
      </c>
      <c r="AK10" s="60">
        <f t="shared" si="2"/>
        <v>442.91200446133246</v>
      </c>
      <c r="AL10" s="60">
        <f t="shared" si="2"/>
        <v>920.38074293978048</v>
      </c>
      <c r="AM10" s="60">
        <f t="shared" si="2"/>
        <v>388.99354486897209</v>
      </c>
      <c r="AN10" s="60">
        <f t="shared" si="2"/>
        <v>848.46580480183104</v>
      </c>
      <c r="AO10" s="60">
        <f t="shared" si="2"/>
        <v>298.49868494286909</v>
      </c>
      <c r="AP10" s="60">
        <f t="shared" si="2"/>
        <v>738.77829349124886</v>
      </c>
      <c r="AQ10" s="60">
        <f t="shared" si="2"/>
        <v>168.974813859302</v>
      </c>
      <c r="AR10" s="60">
        <f t="shared" si="2"/>
        <v>588.74158180417999</v>
      </c>
      <c r="AS10" s="60">
        <f t="shared" si="2"/>
        <v>-2.2858926687326857</v>
      </c>
      <c r="AT10" s="60">
        <f t="shared" si="2"/>
        <v>395.50903803810934</v>
      </c>
      <c r="AU10" s="60">
        <f t="shared" si="2"/>
        <v>781.72306036625184</v>
      </c>
      <c r="AV10" s="60">
        <f t="shared" si="2"/>
        <v>155.93173501484716</v>
      </c>
      <c r="AW10" s="60">
        <f t="shared" si="2"/>
        <v>517.6882625434331</v>
      </c>
      <c r="AX10" s="60">
        <f t="shared" si="2"/>
        <v>-133.47782504886459</v>
      </c>
      <c r="AY10" s="60">
        <f t="shared" si="2"/>
        <v>201.93794876487289</v>
      </c>
      <c r="AZ10" s="60">
        <f t="shared" si="2"/>
        <v>523.41353489906101</v>
      </c>
      <c r="BA10" s="60">
        <f t="shared" si="2"/>
        <v>-169.60119973710255</v>
      </c>
      <c r="BB10" s="60">
        <f t="shared" si="2"/>
        <v>122.31387578756801</v>
      </c>
      <c r="BC10" s="60">
        <f t="shared" si="2"/>
        <v>398.54740522360271</v>
      </c>
      <c r="BD10" s="60">
        <f t="shared" si="2"/>
        <v>658.45468871701325</v>
      </c>
      <c r="BE10" s="60">
        <f t="shared" si="2"/>
        <v>-98.644285189415314</v>
      </c>
      <c r="BF10" s="60">
        <f t="shared" si="2"/>
        <v>126.53307413252105</v>
      </c>
      <c r="BG10" s="60">
        <f t="shared" si="2"/>
        <v>333.22974762723834</v>
      </c>
      <c r="BH10" s="60">
        <f t="shared" si="2"/>
        <v>520.64676175103978</v>
      </c>
      <c r="BI10" s="60">
        <f t="shared" si="2"/>
        <v>-312.05929740277554</v>
      </c>
    </row>
    <row r="13" spans="1:61" x14ac:dyDescent="0.25">
      <c r="A13" s="59" t="s">
        <v>229</v>
      </c>
      <c r="B13">
        <v>1000</v>
      </c>
      <c r="C13" s="60">
        <f>IF(B17&lt;250,1000,0)</f>
        <v>0</v>
      </c>
      <c r="D13" s="60">
        <f t="shared" ref="D13" si="3">IF(C17&lt;250,1000,0)</f>
        <v>0</v>
      </c>
      <c r="E13" s="60">
        <f t="shared" ref="E13" si="4">IF(D17&lt;250,1000,0)</f>
        <v>0</v>
      </c>
      <c r="F13" s="60">
        <f t="shared" ref="F13" si="5">IF(E17&lt;250,1000,0)</f>
        <v>0</v>
      </c>
      <c r="G13" s="60">
        <f t="shared" ref="G13" si="6">IF(F17&lt;250,1000,0)</f>
        <v>0</v>
      </c>
      <c r="H13" s="60">
        <f t="shared" ref="H13" si="7">IF(G17&lt;250,1000,0)</f>
        <v>0</v>
      </c>
      <c r="I13" s="60">
        <f t="shared" ref="I13" si="8">IF(H17&lt;250,1000,0)</f>
        <v>0</v>
      </c>
      <c r="J13" s="60">
        <f t="shared" ref="J13" si="9">IF(I17&lt;250,1000,0)</f>
        <v>0</v>
      </c>
      <c r="K13" s="60">
        <f t="shared" ref="K13" si="10">IF(J17&lt;250,1000,0)</f>
        <v>0</v>
      </c>
      <c r="L13" s="60">
        <f t="shared" ref="L13" si="11">IF(K17&lt;250,1000,0)</f>
        <v>0</v>
      </c>
      <c r="M13" s="60">
        <f t="shared" ref="M13" si="12">IF(L17&lt;250,1000,0)</f>
        <v>0</v>
      </c>
      <c r="N13" s="60">
        <f t="shared" ref="N13" si="13">IF(M17&lt;250,1000,0)</f>
        <v>0</v>
      </c>
      <c r="O13" s="60">
        <f t="shared" ref="O13" si="14">IF(N17&lt;250,1000,0)</f>
        <v>0</v>
      </c>
      <c r="P13" s="60">
        <f t="shared" ref="P13" si="15">IF(O17&lt;250,1000,0)</f>
        <v>0</v>
      </c>
      <c r="Q13" s="60">
        <f t="shared" ref="Q13" si="16">IF(P17&lt;250,1000,0)</f>
        <v>0</v>
      </c>
      <c r="R13" s="60">
        <f t="shared" ref="R13" si="17">IF(Q17&lt;250,1000,0)</f>
        <v>0</v>
      </c>
      <c r="S13" s="60">
        <f t="shared" ref="S13" si="18">IF(R17&lt;250,1000,0)</f>
        <v>0</v>
      </c>
      <c r="T13" s="60">
        <f t="shared" ref="T13" si="19">IF(S17&lt;250,1000,0)</f>
        <v>0</v>
      </c>
      <c r="U13" s="60">
        <f t="shared" ref="U13" si="20">IF(T17&lt;250,1000,0)</f>
        <v>0</v>
      </c>
      <c r="V13" s="60">
        <f t="shared" ref="V13" si="21">IF(U17&lt;250,1000,0)</f>
        <v>0</v>
      </c>
      <c r="W13" s="60">
        <f t="shared" ref="W13" si="22">IF(V17&lt;250,1000,0)</f>
        <v>0</v>
      </c>
      <c r="X13" s="60">
        <f t="shared" ref="X13" si="23">IF(W17&lt;250,1000,0)</f>
        <v>0</v>
      </c>
      <c r="Y13" s="60">
        <f t="shared" ref="Y13" si="24">IF(X17&lt;250,1000,0)</f>
        <v>1000</v>
      </c>
      <c r="Z13" s="60">
        <f t="shared" ref="Z13" si="25">IF(Y17&lt;250,1000,0)</f>
        <v>0</v>
      </c>
      <c r="AA13" s="60">
        <f t="shared" ref="AA13" si="26">IF(Z17&lt;250,1000,0)</f>
        <v>0</v>
      </c>
      <c r="AB13" s="60">
        <f t="shared" ref="AB13" si="27">IF(AA17&lt;250,1000,0)</f>
        <v>0</v>
      </c>
      <c r="AC13" s="60">
        <f t="shared" ref="AC13" si="28">IF(AB17&lt;250,1000,0)</f>
        <v>0</v>
      </c>
      <c r="AD13" s="60">
        <f t="shared" ref="AD13" si="29">IF(AC17&lt;250,1000,0)</f>
        <v>0</v>
      </c>
      <c r="AE13" s="60">
        <f t="shared" ref="AE13" si="30">IF(AD17&lt;250,1000,0)</f>
        <v>0</v>
      </c>
      <c r="AF13" s="60">
        <f t="shared" ref="AF13" si="31">IF(AE17&lt;250,1000,0)</f>
        <v>0</v>
      </c>
      <c r="AG13" s="60">
        <f t="shared" ref="AG13" si="32">IF(AF17&lt;250,1000,0)</f>
        <v>0</v>
      </c>
      <c r="AH13" s="60">
        <f t="shared" ref="AH13" si="33">IF(AG17&lt;250,1000,0)</f>
        <v>0</v>
      </c>
      <c r="AI13" s="60">
        <f t="shared" ref="AI13" si="34">IF(AH17&lt;250,1000,0)</f>
        <v>0</v>
      </c>
      <c r="AJ13" s="60">
        <f t="shared" ref="AJ13" si="35">IF(AI17&lt;250,1000,0)</f>
        <v>1000</v>
      </c>
      <c r="AK13" s="60">
        <f t="shared" ref="AK13" si="36">IF(AJ17&lt;250,1000,0)</f>
        <v>0</v>
      </c>
      <c r="AL13" s="60">
        <f t="shared" ref="AL13" si="37">IF(AK17&lt;250,1000,0)</f>
        <v>0</v>
      </c>
      <c r="AM13" s="60">
        <f t="shared" ref="AM13" si="38">IF(AL17&lt;250,1000,0)</f>
        <v>0</v>
      </c>
      <c r="AN13" s="60">
        <f t="shared" ref="AN13" si="39">IF(AM17&lt;250,1000,0)</f>
        <v>0</v>
      </c>
      <c r="AO13" s="60">
        <f t="shared" ref="AO13" si="40">IF(AN17&lt;250,1000,0)</f>
        <v>0</v>
      </c>
      <c r="AP13" s="60">
        <f t="shared" ref="AP13" si="41">IF(AO17&lt;250,1000,0)</f>
        <v>0</v>
      </c>
      <c r="AQ13" s="60">
        <f t="shared" ref="AQ13" si="42">IF(AP17&lt;250,1000,0)</f>
        <v>1000</v>
      </c>
      <c r="AR13" s="60">
        <f t="shared" ref="AR13" si="43">IF(AQ17&lt;250,1000,0)</f>
        <v>0</v>
      </c>
      <c r="AS13" s="60">
        <f t="shared" ref="AS13" si="44">IF(AR17&lt;250,1000,0)</f>
        <v>0</v>
      </c>
      <c r="AT13" s="60">
        <f t="shared" ref="AT13" si="45">IF(AS17&lt;250,1000,0)</f>
        <v>0</v>
      </c>
      <c r="AU13" s="60">
        <f t="shared" ref="AU13" si="46">IF(AT17&lt;250,1000,0)</f>
        <v>0</v>
      </c>
      <c r="AV13" s="60">
        <f t="shared" ref="AV13" si="47">IF(AU17&lt;250,1000,0)</f>
        <v>1000</v>
      </c>
      <c r="AW13" s="60">
        <f t="shared" ref="AW13" si="48">IF(AV17&lt;250,1000,0)</f>
        <v>0</v>
      </c>
      <c r="AX13" s="60">
        <f t="shared" ref="AX13" si="49">IF(AW17&lt;250,1000,0)</f>
        <v>0</v>
      </c>
      <c r="AY13" s="60">
        <f t="shared" ref="AY13" si="50">IF(AX17&lt;250,1000,0)</f>
        <v>0</v>
      </c>
      <c r="AZ13" s="60">
        <f t="shared" ref="AZ13" si="51">IF(AY17&lt;250,1000,0)</f>
        <v>0</v>
      </c>
      <c r="BA13" s="60">
        <f t="shared" ref="BA13" si="52">IF(AZ17&lt;250,1000,0)</f>
        <v>1000</v>
      </c>
      <c r="BB13" s="60">
        <f t="shared" ref="BB13" si="53">IF(BA17&lt;250,1000,0)</f>
        <v>0</v>
      </c>
      <c r="BC13" s="60">
        <f t="shared" ref="BC13" si="54">IF(BB17&lt;250,1000,0)</f>
        <v>0</v>
      </c>
      <c r="BD13" s="60">
        <f t="shared" ref="BD13" si="55">IF(BC17&lt;250,1000,0)</f>
        <v>0</v>
      </c>
      <c r="BE13" s="60">
        <f t="shared" ref="BE13" si="56">IF(BD17&lt;250,1000,0)</f>
        <v>1000</v>
      </c>
      <c r="BF13" s="60">
        <f t="shared" ref="BF13" si="57">IF(BE17&lt;250,1000,0)</f>
        <v>0</v>
      </c>
      <c r="BG13" s="60">
        <f t="shared" ref="BG13" si="58">IF(BF17&lt;250,1000,0)</f>
        <v>0</v>
      </c>
      <c r="BH13" s="60">
        <f t="shared" ref="BH13" si="59">IF(BG17&lt;250,1000,0)</f>
        <v>0</v>
      </c>
      <c r="BI13" s="60">
        <f t="shared" ref="BI13" si="60">IF(BH17&lt;250,1000,0)</f>
        <v>1000</v>
      </c>
    </row>
    <row r="14" spans="1:61" x14ac:dyDescent="0.25">
      <c r="A14" s="59" t="s">
        <v>213</v>
      </c>
      <c r="B14" s="48">
        <f>RevenueModule!B45*RevenueModule!B41</f>
        <v>18.75</v>
      </c>
      <c r="C14" s="48">
        <f>RevenueModule!C45*RevenueModule!C41</f>
        <v>18.787518749999997</v>
      </c>
      <c r="D14" s="48">
        <f>RevenueModule!D45*RevenueModule!D41</f>
        <v>18.825112575018743</v>
      </c>
      <c r="E14" s="48">
        <f>RevenueModule!E45*RevenueModule!E41</f>
        <v>18.86278162528135</v>
      </c>
      <c r="F14" s="48">
        <f>RevenueModule!F45*RevenueModule!F41</f>
        <v>18.900526051313534</v>
      </c>
      <c r="G14" s="48">
        <f>RevenueModule!G45*RevenueModule!G41</f>
        <v>18.938346003942208</v>
      </c>
      <c r="H14" s="48">
        <f>RevenueModule!H45*RevenueModule!H41</f>
        <v>18.976241634296091</v>
      </c>
      <c r="I14" s="48">
        <f>RevenueModule!I45*RevenueModule!I41</f>
        <v>19.014213093806315</v>
      </c>
      <c r="J14" s="48">
        <f>RevenueModule!J45*RevenueModule!J41</f>
        <v>19.052260534207015</v>
      </c>
      <c r="K14" s="48">
        <f>RevenueModule!K45*RevenueModule!K41</f>
        <v>19.090384107535961</v>
      </c>
      <c r="L14" s="48">
        <f>RevenueModule!L45*RevenueModule!L41</f>
        <v>19.128583966135132</v>
      </c>
      <c r="M14" s="48">
        <f>RevenueModule!M45*RevenueModule!M41</f>
        <v>19.166860262651365</v>
      </c>
      <c r="N14" s="48">
        <f>RevenueModule!N45*RevenueModule!N41</f>
        <v>19.205213150036926</v>
      </c>
      <c r="O14" s="48">
        <f>RevenueModule!O45*RevenueModule!O41</f>
        <v>19.24364278155015</v>
      </c>
      <c r="P14" s="48">
        <f>RevenueModule!P45*RevenueModule!P41</f>
        <v>19.282149310756029</v>
      </c>
      <c r="Q14" s="48">
        <f>RevenueModule!Q45*RevenueModule!Q41</f>
        <v>19.320732891526848</v>
      </c>
      <c r="R14" s="48">
        <f>RevenueModule!R45*RevenueModule!R41</f>
        <v>19.359393678042789</v>
      </c>
      <c r="S14" s="48">
        <f>RevenueModule!S45*RevenueModule!S41</f>
        <v>19.398131824792546</v>
      </c>
      <c r="T14" s="48">
        <f>RevenueModule!T45*RevenueModule!T41</f>
        <v>19.436947486573956</v>
      </c>
      <c r="U14" s="48">
        <f>RevenueModule!U45*RevenueModule!U41</f>
        <v>19.475840818494589</v>
      </c>
      <c r="V14" s="48">
        <f>RevenueModule!V45*RevenueModule!V41</f>
        <v>19.514811975972393</v>
      </c>
      <c r="W14" s="48">
        <f>RevenueModule!W45*RevenueModule!W41</f>
        <v>19.553861114736311</v>
      </c>
      <c r="X14" s="48">
        <f>RevenueModule!X45*RevenueModule!X41</f>
        <v>19.592988390826893</v>
      </c>
      <c r="Y14" s="48">
        <f>RevenueModule!Y45*RevenueModule!Y41</f>
        <v>19.632193960596933</v>
      </c>
      <c r="Z14" s="48">
        <f>RevenueModule!Z45*RevenueModule!Z41</f>
        <v>19.671477980712087</v>
      </c>
      <c r="AA14" s="48">
        <f>RevenueModule!AA45*RevenueModule!AA41</f>
        <v>19.710840608151486</v>
      </c>
      <c r="AB14" s="48">
        <f>RevenueModule!AB45*RevenueModule!AB41</f>
        <v>19.75028200020839</v>
      </c>
      <c r="AC14" s="48">
        <f>RevenueModule!AC45*RevenueModule!AC41</f>
        <v>19.789802314490803</v>
      </c>
      <c r="AD14" s="48">
        <f>RevenueModule!AD45*RevenueModule!AD41</f>
        <v>19.829401708922092</v>
      </c>
      <c r="AE14" s="48">
        <f>RevenueModule!AE45*RevenueModule!AE41</f>
        <v>19.86908034174164</v>
      </c>
      <c r="AF14" s="48">
        <f>RevenueModule!AF45*RevenueModule!AF41</f>
        <v>19.90883837150546</v>
      </c>
      <c r="AG14" s="48">
        <f>RevenueModule!AG45*RevenueModule!AG41</f>
        <v>19.948675957086838</v>
      </c>
      <c r="AH14" s="48">
        <f>RevenueModule!AH45*RevenueModule!AH41</f>
        <v>19.988593257676964</v>
      </c>
      <c r="AI14" s="48">
        <f>RevenueModule!AI45*RevenueModule!AI41</f>
        <v>20.028590432785574</v>
      </c>
      <c r="AJ14" s="48">
        <f>RevenueModule!AJ45*RevenueModule!AJ41</f>
        <v>20.068667642241572</v>
      </c>
      <c r="AK14" s="48">
        <f>RevenueModule!AK45*RevenueModule!AK41</f>
        <v>20.108825046193694</v>
      </c>
      <c r="AL14" s="48">
        <f>RevenueModule!AL45*RevenueModule!AL41</f>
        <v>20.149062805111125</v>
      </c>
      <c r="AM14" s="48">
        <f>RevenueModule!AM45*RevenueModule!AM41</f>
        <v>20.189381079784148</v>
      </c>
      <c r="AN14" s="48">
        <f>RevenueModule!AN45*RevenueModule!AN41</f>
        <v>20.22978003132479</v>
      </c>
      <c r="AO14" s="48">
        <f>RevenueModule!AO45*RevenueModule!AO41</f>
        <v>20.270259821167468</v>
      </c>
      <c r="AP14" s="48">
        <f>RevenueModule!AP45*RevenueModule!AP41</f>
        <v>20.310820611069619</v>
      </c>
      <c r="AQ14" s="48">
        <f>RevenueModule!AQ45*RevenueModule!AQ41</f>
        <v>20.351462563112364</v>
      </c>
      <c r="AR14" s="48">
        <f>RevenueModule!AR45*RevenueModule!AR41</f>
        <v>20.392185839701149</v>
      </c>
      <c r="AS14" s="48">
        <f>RevenueModule!AS45*RevenueModule!AS41</f>
        <v>20.432990603566385</v>
      </c>
      <c r="AT14" s="48">
        <f>RevenueModule!AT45*RevenueModule!AT41</f>
        <v>20.473877017764114</v>
      </c>
      <c r="AU14" s="48">
        <f>RevenueModule!AU45*RevenueModule!AU41</f>
        <v>20.514845245676657</v>
      </c>
      <c r="AV14" s="48">
        <f>RevenueModule!AV45*RevenueModule!AV41</f>
        <v>20.555895451013249</v>
      </c>
      <c r="AW14" s="48">
        <f>RevenueModule!AW45*RevenueModule!AW41</f>
        <v>20.597027797810721</v>
      </c>
      <c r="AX14" s="48">
        <f>RevenueModule!AX45*RevenueModule!AX41</f>
        <v>20.638242450434134</v>
      </c>
      <c r="AY14" s="48">
        <f>RevenueModule!AY45*RevenueModule!AY41</f>
        <v>20.679539573577451</v>
      </c>
      <c r="AZ14" s="48">
        <f>RevenueModule!AZ45*RevenueModule!AZ41</f>
        <v>20.72091933226417</v>
      </c>
      <c r="BA14" s="48">
        <f>RevenueModule!BA45*RevenueModule!BA41</f>
        <v>20.762381891848026</v>
      </c>
      <c r="BB14" s="48">
        <f>RevenueModule!BB45*RevenueModule!BB41</f>
        <v>20.803927418013608</v>
      </c>
      <c r="BC14" s="48">
        <f>RevenueModule!BC45*RevenueModule!BC41</f>
        <v>20.845556076777051</v>
      </c>
      <c r="BD14" s="48">
        <f>RevenueModule!BD45*RevenueModule!BD41</f>
        <v>20.887268034486677</v>
      </c>
      <c r="BE14" s="48">
        <f>RevenueModule!BE45*RevenueModule!BE41</f>
        <v>20.929063457823684</v>
      </c>
      <c r="BF14" s="48">
        <f>RevenueModule!BF45*RevenueModule!BF41</f>
        <v>20.970942513802786</v>
      </c>
      <c r="BG14" s="48">
        <f>RevenueModule!BG45*RevenueModule!BG41</f>
        <v>21.012905369772898</v>
      </c>
      <c r="BH14" s="48">
        <f>RevenueModule!BH45*RevenueModule!BH41</f>
        <v>21.054952193417812</v>
      </c>
      <c r="BI14" s="48">
        <f>RevenueModule!BI45*RevenueModule!BI41</f>
        <v>21.097083152756831</v>
      </c>
    </row>
    <row r="15" spans="1:61" x14ac:dyDescent="0.25">
      <c r="A15" s="59" t="s">
        <v>214</v>
      </c>
      <c r="B15" s="51">
        <f>B13*B14</f>
        <v>18750</v>
      </c>
      <c r="C15" s="51">
        <f t="shared" ref="C15:BI15" si="61">C13*C14</f>
        <v>0</v>
      </c>
      <c r="D15" s="51">
        <f t="shared" si="61"/>
        <v>0</v>
      </c>
      <c r="E15" s="51">
        <f t="shared" si="61"/>
        <v>0</v>
      </c>
      <c r="F15" s="51">
        <f t="shared" si="61"/>
        <v>0</v>
      </c>
      <c r="G15" s="51">
        <f t="shared" si="61"/>
        <v>0</v>
      </c>
      <c r="H15" s="51">
        <f t="shared" si="61"/>
        <v>0</v>
      </c>
      <c r="I15" s="51">
        <f t="shared" si="61"/>
        <v>0</v>
      </c>
      <c r="J15" s="51">
        <f t="shared" si="61"/>
        <v>0</v>
      </c>
      <c r="K15" s="51">
        <f t="shared" si="61"/>
        <v>0</v>
      </c>
      <c r="L15" s="51">
        <f t="shared" si="61"/>
        <v>0</v>
      </c>
      <c r="M15" s="51">
        <f t="shared" si="61"/>
        <v>0</v>
      </c>
      <c r="N15" s="51">
        <f t="shared" si="61"/>
        <v>0</v>
      </c>
      <c r="O15" s="51">
        <f t="shared" si="61"/>
        <v>0</v>
      </c>
      <c r="P15" s="51">
        <f t="shared" si="61"/>
        <v>0</v>
      </c>
      <c r="Q15" s="51">
        <f t="shared" si="61"/>
        <v>0</v>
      </c>
      <c r="R15" s="51">
        <f t="shared" si="61"/>
        <v>0</v>
      </c>
      <c r="S15" s="51">
        <f t="shared" si="61"/>
        <v>0</v>
      </c>
      <c r="T15" s="51">
        <f t="shared" si="61"/>
        <v>0</v>
      </c>
      <c r="U15" s="51">
        <f t="shared" si="61"/>
        <v>0</v>
      </c>
      <c r="V15" s="51">
        <f t="shared" si="61"/>
        <v>0</v>
      </c>
      <c r="W15" s="51">
        <f t="shared" si="61"/>
        <v>0</v>
      </c>
      <c r="X15" s="51">
        <f t="shared" si="61"/>
        <v>0</v>
      </c>
      <c r="Y15" s="51">
        <f t="shared" si="61"/>
        <v>19632.193960596931</v>
      </c>
      <c r="Z15" s="51">
        <f t="shared" si="61"/>
        <v>0</v>
      </c>
      <c r="AA15" s="51">
        <f t="shared" si="61"/>
        <v>0</v>
      </c>
      <c r="AB15" s="51">
        <f t="shared" si="61"/>
        <v>0</v>
      </c>
      <c r="AC15" s="51">
        <f t="shared" si="61"/>
        <v>0</v>
      </c>
      <c r="AD15" s="51">
        <f t="shared" si="61"/>
        <v>0</v>
      </c>
      <c r="AE15" s="51">
        <f t="shared" si="61"/>
        <v>0</v>
      </c>
      <c r="AF15" s="51">
        <f t="shared" si="61"/>
        <v>0</v>
      </c>
      <c r="AG15" s="51">
        <f t="shared" si="61"/>
        <v>0</v>
      </c>
      <c r="AH15" s="51">
        <f t="shared" si="61"/>
        <v>0</v>
      </c>
      <c r="AI15" s="51">
        <f t="shared" si="61"/>
        <v>0</v>
      </c>
      <c r="AJ15" s="51">
        <f t="shared" si="61"/>
        <v>20068.667642241573</v>
      </c>
      <c r="AK15" s="51">
        <f t="shared" si="61"/>
        <v>0</v>
      </c>
      <c r="AL15" s="51">
        <f t="shared" si="61"/>
        <v>0</v>
      </c>
      <c r="AM15" s="51">
        <f t="shared" si="61"/>
        <v>0</v>
      </c>
      <c r="AN15" s="51">
        <f t="shared" si="61"/>
        <v>0</v>
      </c>
      <c r="AO15" s="51">
        <f t="shared" si="61"/>
        <v>0</v>
      </c>
      <c r="AP15" s="51">
        <f t="shared" si="61"/>
        <v>0</v>
      </c>
      <c r="AQ15" s="51">
        <f t="shared" si="61"/>
        <v>20351.462563112364</v>
      </c>
      <c r="AR15" s="51">
        <f t="shared" si="61"/>
        <v>0</v>
      </c>
      <c r="AS15" s="51">
        <f t="shared" si="61"/>
        <v>0</v>
      </c>
      <c r="AT15" s="51">
        <f t="shared" si="61"/>
        <v>0</v>
      </c>
      <c r="AU15" s="51">
        <f t="shared" si="61"/>
        <v>0</v>
      </c>
      <c r="AV15" s="51">
        <f t="shared" si="61"/>
        <v>20555.89545101325</v>
      </c>
      <c r="AW15" s="51">
        <f t="shared" si="61"/>
        <v>0</v>
      </c>
      <c r="AX15" s="51">
        <f t="shared" si="61"/>
        <v>0</v>
      </c>
      <c r="AY15" s="51">
        <f t="shared" si="61"/>
        <v>0</v>
      </c>
      <c r="AZ15" s="51">
        <f t="shared" si="61"/>
        <v>0</v>
      </c>
      <c r="BA15" s="51">
        <f t="shared" si="61"/>
        <v>20762.381891848025</v>
      </c>
      <c r="BB15" s="51">
        <f t="shared" si="61"/>
        <v>0</v>
      </c>
      <c r="BC15" s="51">
        <f t="shared" si="61"/>
        <v>0</v>
      </c>
      <c r="BD15" s="51">
        <f t="shared" si="61"/>
        <v>0</v>
      </c>
      <c r="BE15" s="51">
        <f t="shared" si="61"/>
        <v>20929.063457823682</v>
      </c>
      <c r="BF15" s="51">
        <f t="shared" si="61"/>
        <v>0</v>
      </c>
      <c r="BG15" s="51">
        <f t="shared" si="61"/>
        <v>0</v>
      </c>
      <c r="BH15" s="51">
        <f t="shared" si="61"/>
        <v>0</v>
      </c>
      <c r="BI15" s="51">
        <f t="shared" si="61"/>
        <v>21097.08315275683</v>
      </c>
    </row>
    <row r="16" spans="1:61" x14ac:dyDescent="0.25">
      <c r="A16" s="59" t="s">
        <v>230</v>
      </c>
      <c r="B16" s="60">
        <f>RevenueModule!B40</f>
        <v>0</v>
      </c>
      <c r="C16" s="60">
        <f>RevenueModule!C40</f>
        <v>0</v>
      </c>
      <c r="D16" s="60">
        <f>RevenueModule!D40</f>
        <v>0</v>
      </c>
      <c r="E16" s="60">
        <f>RevenueModule!E40</f>
        <v>3.2985923187829331</v>
      </c>
      <c r="F16" s="60">
        <f>RevenueModule!F40</f>
        <v>6.637585065441197</v>
      </c>
      <c r="G16" s="60">
        <f>RevenueModule!G40</f>
        <v>10.017708409787135</v>
      </c>
      <c r="H16" s="60">
        <f>RevenueModule!H40</f>
        <v>13.439717095864804</v>
      </c>
      <c r="I16" s="60">
        <f>RevenueModule!I40</f>
        <v>16.904391683224887</v>
      </c>
      <c r="J16" s="60">
        <f>RevenueModule!J40</f>
        <v>20.412539859848042</v>
      </c>
      <c r="K16" s="60">
        <f>RevenueModule!K40</f>
        <v>23.964997830996918</v>
      </c>
      <c r="L16" s="60">
        <f>RevenueModule!L40</f>
        <v>27.5626317885351</v>
      </c>
      <c r="M16" s="60">
        <f>RevenueModule!M40</f>
        <v>31.206339465524902</v>
      </c>
      <c r="N16" s="60">
        <f>RevenueModule!N40</f>
        <v>34.89705178120596</v>
      </c>
      <c r="O16" s="60">
        <f>RevenueModule!O40</f>
        <v>38.635734581764353</v>
      </c>
      <c r="P16" s="60">
        <f>RevenueModule!P40</f>
        <v>42.423390482628136</v>
      </c>
      <c r="Q16" s="60">
        <f>RevenueModule!Q40</f>
        <v>46.261060818371355</v>
      </c>
      <c r="R16" s="60">
        <f>RevenueModule!R40</f>
        <v>50.14982770667514</v>
      </c>
      <c r="S16" s="60">
        <f>RevenueModule!S40</f>
        <v>54.090816233184107</v>
      </c>
      <c r="T16" s="60">
        <f>RevenueModule!T40</f>
        <v>58.085196764508268</v>
      </c>
      <c r="U16" s="60">
        <f>RevenueModule!U40</f>
        <v>62.134187397058703</v>
      </c>
      <c r="V16" s="60">
        <f>RevenueModule!V40</f>
        <v>66.239056549869005</v>
      </c>
      <c r="W16" s="60">
        <f>RevenueModule!W40</f>
        <v>70.401125710046458</v>
      </c>
      <c r="X16" s="60">
        <f>RevenueModule!X40</f>
        <v>74.62177234001895</v>
      </c>
      <c r="Y16" s="60">
        <f>RevenueModule!Y40</f>
        <v>78.902432956296806</v>
      </c>
      <c r="Z16" s="60">
        <f>RevenueModule!Z40</f>
        <v>83.244606390055381</v>
      </c>
      <c r="AA16" s="60">
        <f>RevenueModule!AA40</f>
        <v>87.649857240466858</v>
      </c>
      <c r="AB16" s="60">
        <f>RevenueModule!AB40</f>
        <v>92.119819532369277</v>
      </c>
      <c r="AC16" s="60">
        <f>RevenueModule!AC40</f>
        <v>96.656200590560672</v>
      </c>
      <c r="AD16" s="60">
        <f>RevenueModule!AD40</f>
        <v>101.26078514374851</v>
      </c>
      <c r="AE16" s="60">
        <f>RevenueModule!AE40</f>
        <v>105.93543967197118</v>
      </c>
      <c r="AF16" s="60">
        <f>RevenueModule!AF40</f>
        <v>110.68211701214341</v>
      </c>
      <c r="AG16" s="60">
        <f>RevenueModule!AG40</f>
        <v>115.50286123726181</v>
      </c>
      <c r="AH16" s="60">
        <f>RevenueModule!AH40</f>
        <v>120.39981282574598</v>
      </c>
      <c r="AI16" s="60">
        <f>RevenueModule!AI40</f>
        <v>125.37521413838542</v>
      </c>
      <c r="AJ16" s="60">
        <f>RevenueModule!AJ40</f>
        <v>130.43141522141821</v>
      </c>
      <c r="AK16" s="60">
        <f>RevenueModule!AK40</f>
        <v>135.57087995538666</v>
      </c>
      <c r="AL16" s="60">
        <f>RevenueModule!AL40</f>
        <v>140.79619257060219</v>
      </c>
      <c r="AM16" s="60">
        <f>RevenueModule!AM40</f>
        <v>146.11006455131027</v>
      </c>
      <c r="AN16" s="60">
        <f>RevenueModule!AN40</f>
        <v>151.51534195198167</v>
      </c>
      <c r="AO16" s="60">
        <f>RevenueModule!AO40</f>
        <v>157.01501315057129</v>
      </c>
      <c r="AP16" s="60">
        <f>RevenueModule!AP40</f>
        <v>162.61221706508749</v>
      </c>
      <c r="AQ16" s="60">
        <f>RevenueModule!AQ40</f>
        <v>168.31025186140695</v>
      </c>
      <c r="AR16" s="60">
        <f>RevenueModule!AR40</f>
        <v>174.11258418195817</v>
      </c>
      <c r="AS16" s="60">
        <f>RevenueModule!AS40</f>
        <v>180.02285892668729</v>
      </c>
      <c r="AT16" s="60">
        <f>RevenueModule!AT40</f>
        <v>186.04490961961889</v>
      </c>
      <c r="AU16" s="60">
        <f>RevenueModule!AU40</f>
        <v>192.18276939633748</v>
      </c>
      <c r="AV16" s="60">
        <f>RevenueModule!AV40</f>
        <v>198.44068264985151</v>
      </c>
      <c r="AW16" s="60">
        <f>RevenueModule!AW40</f>
        <v>204.82311737456567</v>
      </c>
      <c r="AX16" s="60">
        <f>RevenueModule!AX40</f>
        <v>211.33477825048863</v>
      </c>
      <c r="AY16" s="60">
        <f>RevenueModule!AY40</f>
        <v>217.98062051235127</v>
      </c>
      <c r="AZ16" s="60">
        <f>RevenueModule!AZ40</f>
        <v>224.76586465100939</v>
      </c>
      <c r="BA16" s="60">
        <f>RevenueModule!BA40</f>
        <v>231.69601199737102</v>
      </c>
      <c r="BB16" s="60">
        <f>RevenueModule!BB40</f>
        <v>238.77686124212434</v>
      </c>
      <c r="BC16" s="60">
        <f>RevenueModule!BC40</f>
        <v>246.01452594776399</v>
      </c>
      <c r="BD16" s="60">
        <f>RevenueModule!BD40</f>
        <v>253.41545311282985</v>
      </c>
      <c r="BE16" s="60">
        <f>RevenueModule!BE40</f>
        <v>260.98644285189414</v>
      </c>
      <c r="BF16" s="60">
        <f>RevenueModule!BF40</f>
        <v>268.73466925867478</v>
      </c>
      <c r="BG16" s="60">
        <f>RevenueModule!BG40</f>
        <v>276.6677025237276</v>
      </c>
      <c r="BH16" s="60">
        <f>RevenueModule!BH40</f>
        <v>284.79353238248956</v>
      </c>
      <c r="BI16" s="60">
        <f>RevenueModule!BI40</f>
        <v>293.12059297402772</v>
      </c>
    </row>
    <row r="17" spans="1:61" x14ac:dyDescent="0.25">
      <c r="A17" s="59" t="s">
        <v>216</v>
      </c>
      <c r="B17" s="60">
        <f>B13-B16</f>
        <v>1000</v>
      </c>
      <c r="C17" s="60">
        <f>B17-C16+C13</f>
        <v>1000</v>
      </c>
      <c r="D17" s="60">
        <f t="shared" ref="D17" si="62">C17-D16+D13</f>
        <v>1000</v>
      </c>
      <c r="E17" s="60">
        <f t="shared" ref="E17" si="63">D17-E16+E13</f>
        <v>996.70140768121712</v>
      </c>
      <c r="F17" s="60">
        <f t="shared" ref="F17" si="64">E17-F16+F13</f>
        <v>990.06382261577596</v>
      </c>
      <c r="G17" s="60">
        <f t="shared" ref="G17" si="65">F17-G16+G13</f>
        <v>980.04611420598883</v>
      </c>
      <c r="H17" s="60">
        <f t="shared" ref="H17" si="66">G17-H16+H13</f>
        <v>966.60639711012402</v>
      </c>
      <c r="I17" s="60">
        <f t="shared" ref="I17" si="67">H17-I16+I13</f>
        <v>949.70200542689918</v>
      </c>
      <c r="J17" s="60">
        <f t="shared" ref="J17" si="68">I17-J16+J13</f>
        <v>929.28946556705114</v>
      </c>
      <c r="K17" s="60">
        <f t="shared" ref="K17" si="69">J17-K16+K13</f>
        <v>905.3244677360542</v>
      </c>
      <c r="L17" s="60">
        <f t="shared" ref="L17" si="70">K17-L16+L13</f>
        <v>877.7618359475191</v>
      </c>
      <c r="M17" s="60">
        <f t="shared" ref="M17" si="71">L17-M16+M13</f>
        <v>846.55549648199417</v>
      </c>
      <c r="N17" s="60">
        <f t="shared" ref="N17" si="72">M17-N16+N13</f>
        <v>811.65844470078821</v>
      </c>
      <c r="O17" s="60">
        <f t="shared" ref="O17" si="73">N17-O16+O13</f>
        <v>773.02271011902383</v>
      </c>
      <c r="P17" s="60">
        <f t="shared" ref="P17" si="74">O17-P16+P13</f>
        <v>730.59931963639565</v>
      </c>
      <c r="Q17" s="60">
        <f t="shared" ref="Q17" si="75">P17-Q16+Q13</f>
        <v>684.33825881802431</v>
      </c>
      <c r="R17" s="60">
        <f t="shared" ref="R17" si="76">Q17-R16+R13</f>
        <v>634.18843111134913</v>
      </c>
      <c r="S17" s="60">
        <f t="shared" ref="S17" si="77">R17-S16+S13</f>
        <v>580.09761487816502</v>
      </c>
      <c r="T17" s="60">
        <f t="shared" ref="T17" si="78">S17-T16+T13</f>
        <v>522.01241811365674</v>
      </c>
      <c r="U17" s="60">
        <f t="shared" ref="U17" si="79">T17-U16+U13</f>
        <v>459.87823071659801</v>
      </c>
      <c r="V17" s="60">
        <f t="shared" ref="V17" si="80">U17-V16+V13</f>
        <v>393.63917416672899</v>
      </c>
      <c r="W17" s="60">
        <f t="shared" ref="W17" si="81">V17-W16+W13</f>
        <v>323.23804845668252</v>
      </c>
      <c r="X17" s="60">
        <f t="shared" ref="X17" si="82">W17-X16+X13</f>
        <v>248.61627611666358</v>
      </c>
      <c r="Y17" s="60">
        <f t="shared" ref="Y17" si="83">X17-Y16+Y13</f>
        <v>1169.7138431603667</v>
      </c>
      <c r="Z17" s="60">
        <f t="shared" ref="Z17" si="84">Y17-Z16+Z13</f>
        <v>1086.4692367703112</v>
      </c>
      <c r="AA17" s="60">
        <f t="shared" ref="AA17" si="85">Z17-AA16+AA13</f>
        <v>998.81937952984435</v>
      </c>
      <c r="AB17" s="60">
        <f t="shared" ref="AB17" si="86">AA17-AB16+AB13</f>
        <v>906.69955999747503</v>
      </c>
      <c r="AC17" s="60">
        <f t="shared" ref="AC17" si="87">AB17-AC16+AC13</f>
        <v>810.04335940691431</v>
      </c>
      <c r="AD17" s="60">
        <f t="shared" ref="AD17" si="88">AC17-AD16+AD13</f>
        <v>708.78257426316577</v>
      </c>
      <c r="AE17" s="60">
        <f t="shared" ref="AE17" si="89">AD17-AE16+AE13</f>
        <v>602.84713459119462</v>
      </c>
      <c r="AF17" s="60">
        <f t="shared" ref="AF17" si="90">AE17-AF16+AF13</f>
        <v>492.16501757905121</v>
      </c>
      <c r="AG17" s="60">
        <f t="shared" ref="AG17" si="91">AF17-AG16+AG13</f>
        <v>376.6621563417894</v>
      </c>
      <c r="AH17" s="60">
        <f t="shared" ref="AH17" si="92">AG17-AH16+AH13</f>
        <v>256.26234351604342</v>
      </c>
      <c r="AI17" s="60">
        <f t="shared" ref="AI17" si="93">AH17-AI16+AI13</f>
        <v>130.887129377658</v>
      </c>
      <c r="AJ17" s="60">
        <f t="shared" ref="AJ17" si="94">AI17-AJ16+AJ13</f>
        <v>1000.4557141562398</v>
      </c>
      <c r="AK17" s="60">
        <f t="shared" ref="AK17" si="95">AJ17-AK16+AK13</f>
        <v>864.88483420085311</v>
      </c>
      <c r="AL17" s="60">
        <f t="shared" ref="AL17" si="96">AK17-AL16+AL13</f>
        <v>724.08864163025089</v>
      </c>
      <c r="AM17" s="60">
        <f t="shared" ref="AM17" si="97">AL17-AM16+AM13</f>
        <v>577.97857707894059</v>
      </c>
      <c r="AN17" s="60">
        <f t="shared" ref="AN17" si="98">AM17-AN16+AN13</f>
        <v>426.46323512695892</v>
      </c>
      <c r="AO17" s="60">
        <f t="shared" ref="AO17" si="99">AN17-AO16+AO13</f>
        <v>269.44822197638763</v>
      </c>
      <c r="AP17" s="60">
        <f t="shared" ref="AP17" si="100">AO17-AP16+AP13</f>
        <v>106.83600491130014</v>
      </c>
      <c r="AQ17" s="60">
        <f t="shared" ref="AQ17" si="101">AP17-AQ16+AQ13</f>
        <v>938.52575304989318</v>
      </c>
      <c r="AR17" s="60">
        <f t="shared" ref="AR17" si="102">AQ17-AR16+AR13</f>
        <v>764.41316886793504</v>
      </c>
      <c r="AS17" s="60">
        <f t="shared" ref="AS17" si="103">AR17-AS16+AS13</f>
        <v>584.39030994124778</v>
      </c>
      <c r="AT17" s="60">
        <f t="shared" ref="AT17" si="104">AS17-AT16+AT13</f>
        <v>398.34540032162886</v>
      </c>
      <c r="AU17" s="60">
        <f t="shared" ref="AU17" si="105">AT17-AU16+AU13</f>
        <v>206.16263092529138</v>
      </c>
      <c r="AV17" s="60">
        <f t="shared" ref="AV17" si="106">AU17-AV16+AV13</f>
        <v>1007.7219482754399</v>
      </c>
      <c r="AW17" s="60">
        <f t="shared" ref="AW17" si="107">AV17-AW16+AW13</f>
        <v>802.89883090087426</v>
      </c>
      <c r="AX17" s="60">
        <f t="shared" ref="AX17" si="108">AW17-AX16+AX13</f>
        <v>591.56405265038563</v>
      </c>
      <c r="AY17" s="60">
        <f t="shared" ref="AY17" si="109">AX17-AY16+AY13</f>
        <v>373.58343213803437</v>
      </c>
      <c r="AZ17" s="60">
        <f t="shared" ref="AZ17" si="110">AY17-AZ16+AZ13</f>
        <v>148.81756748702497</v>
      </c>
      <c r="BA17" s="60">
        <f t="shared" ref="BA17" si="111">AZ17-BA16+BA13</f>
        <v>917.12155548965393</v>
      </c>
      <c r="BB17" s="60">
        <f t="shared" ref="BB17" si="112">BA17-BB16+BB13</f>
        <v>678.34469424752956</v>
      </c>
      <c r="BC17" s="60">
        <f t="shared" ref="BC17" si="113">BB17-BC16+BC13</f>
        <v>432.33016829976555</v>
      </c>
      <c r="BD17" s="60">
        <f t="shared" ref="BD17" si="114">BC17-BD16+BD13</f>
        <v>178.91471518693569</v>
      </c>
      <c r="BE17" s="60">
        <f t="shared" ref="BE17" si="115">BD17-BE16+BE13</f>
        <v>917.92827233504158</v>
      </c>
      <c r="BF17" s="60">
        <f t="shared" ref="BF17" si="116">BE17-BF16+BF13</f>
        <v>649.1936030763668</v>
      </c>
      <c r="BG17" s="60">
        <f t="shared" ref="BG17" si="117">BF17-BG16+BG13</f>
        <v>372.5259005526392</v>
      </c>
      <c r="BH17" s="60">
        <f t="shared" ref="BH17" si="118">BG17-BH16+BH13</f>
        <v>87.732368170149641</v>
      </c>
      <c r="BI17" s="60">
        <f t="shared" ref="BI17" si="119">BH17-BI16+BI13</f>
        <v>794.61177519612193</v>
      </c>
    </row>
    <row r="20" spans="1:61" x14ac:dyDescent="0.25">
      <c r="A20" s="59" t="s">
        <v>231</v>
      </c>
      <c r="B20">
        <v>1000</v>
      </c>
      <c r="C20" s="60">
        <f>IF(B24&lt;250,1000,0)</f>
        <v>0</v>
      </c>
      <c r="D20" s="60">
        <f t="shared" ref="D20" si="120">IF(C24&lt;250,1000,0)</f>
        <v>0</v>
      </c>
      <c r="E20" s="60">
        <f t="shared" ref="E20" si="121">IF(D24&lt;250,1000,0)</f>
        <v>0</v>
      </c>
      <c r="F20" s="60">
        <f t="shared" ref="F20" si="122">IF(E24&lt;250,1000,0)</f>
        <v>0</v>
      </c>
      <c r="G20" s="60">
        <f t="shared" ref="G20" si="123">IF(F24&lt;250,1000,0)</f>
        <v>0</v>
      </c>
      <c r="H20" s="60">
        <f t="shared" ref="H20" si="124">IF(G24&lt;250,1000,0)</f>
        <v>0</v>
      </c>
      <c r="I20" s="60">
        <f t="shared" ref="I20" si="125">IF(H24&lt;250,1000,0)</f>
        <v>0</v>
      </c>
      <c r="J20" s="60">
        <f t="shared" ref="J20" si="126">IF(I24&lt;250,1000,0)</f>
        <v>0</v>
      </c>
      <c r="K20" s="60">
        <f t="shared" ref="K20" si="127">IF(J24&lt;250,1000,0)</f>
        <v>0</v>
      </c>
      <c r="L20" s="60">
        <f t="shared" ref="L20" si="128">IF(K24&lt;250,1000,0)</f>
        <v>0</v>
      </c>
      <c r="M20" s="60">
        <f t="shared" ref="M20" si="129">IF(L24&lt;250,1000,0)</f>
        <v>0</v>
      </c>
      <c r="N20" s="60">
        <f t="shared" ref="N20" si="130">IF(M24&lt;250,1000,0)</f>
        <v>0</v>
      </c>
      <c r="O20" s="60">
        <f t="shared" ref="O20" si="131">IF(N24&lt;250,1000,0)</f>
        <v>0</v>
      </c>
      <c r="P20" s="60">
        <f t="shared" ref="P20" si="132">IF(O24&lt;250,1000,0)</f>
        <v>0</v>
      </c>
      <c r="Q20" s="60">
        <f t="shared" ref="Q20" si="133">IF(P24&lt;250,1000,0)</f>
        <v>0</v>
      </c>
      <c r="R20" s="60">
        <f t="shared" ref="R20" si="134">IF(Q24&lt;250,1000,0)</f>
        <v>0</v>
      </c>
      <c r="S20" s="60">
        <f t="shared" ref="S20" si="135">IF(R24&lt;250,1000,0)</f>
        <v>0</v>
      </c>
      <c r="T20" s="60">
        <f t="shared" ref="T20" si="136">IF(S24&lt;250,1000,0)</f>
        <v>0</v>
      </c>
      <c r="U20" s="60">
        <f t="shared" ref="U20" si="137">IF(T24&lt;250,1000,0)</f>
        <v>1000</v>
      </c>
      <c r="V20" s="60">
        <f t="shared" ref="V20" si="138">IF(U24&lt;250,1000,0)</f>
        <v>0</v>
      </c>
      <c r="W20" s="60">
        <f t="shared" ref="W20" si="139">IF(V24&lt;250,1000,0)</f>
        <v>0</v>
      </c>
      <c r="X20" s="60">
        <f t="shared" ref="X20" si="140">IF(W24&lt;250,1000,0)</f>
        <v>0</v>
      </c>
      <c r="Y20" s="60">
        <f t="shared" ref="Y20" si="141">IF(X24&lt;250,1000,0)</f>
        <v>0</v>
      </c>
      <c r="Z20" s="60">
        <f t="shared" ref="Z20" si="142">IF(Y24&lt;250,1000,0)</f>
        <v>0</v>
      </c>
      <c r="AA20" s="60">
        <f t="shared" ref="AA20" si="143">IF(Z24&lt;250,1000,0)</f>
        <v>0</v>
      </c>
      <c r="AB20" s="60">
        <f t="shared" ref="AB20" si="144">IF(AA24&lt;250,1000,0)</f>
        <v>1000</v>
      </c>
      <c r="AC20" s="60">
        <f t="shared" ref="AC20" si="145">IF(AB24&lt;250,1000,0)</f>
        <v>0</v>
      </c>
      <c r="AD20" s="60">
        <f t="shared" ref="AD20" si="146">IF(AC24&lt;250,1000,0)</f>
        <v>0</v>
      </c>
      <c r="AE20" s="60">
        <f t="shared" ref="AE20" si="147">IF(AD24&lt;250,1000,0)</f>
        <v>0</v>
      </c>
      <c r="AF20" s="60">
        <f t="shared" ref="AF20" si="148">IF(AE24&lt;250,1000,0)</f>
        <v>0</v>
      </c>
      <c r="AG20" s="60">
        <f t="shared" ref="AG20" si="149">IF(AF24&lt;250,1000,0)</f>
        <v>1000</v>
      </c>
      <c r="AH20" s="60">
        <f t="shared" ref="AH20" si="150">IF(AG24&lt;250,1000,0)</f>
        <v>0</v>
      </c>
      <c r="AI20" s="60">
        <f t="shared" ref="AI20" si="151">IF(AH24&lt;250,1000,0)</f>
        <v>0</v>
      </c>
      <c r="AJ20" s="60">
        <f t="shared" ref="AJ20" si="152">IF(AI24&lt;250,1000,0)</f>
        <v>0</v>
      </c>
      <c r="AK20" s="60">
        <f t="shared" ref="AK20" si="153">IF(AJ24&lt;250,1000,0)</f>
        <v>1000</v>
      </c>
      <c r="AL20" s="60">
        <f t="shared" ref="AL20" si="154">IF(AK24&lt;250,1000,0)</f>
        <v>0</v>
      </c>
      <c r="AM20" s="60">
        <f t="shared" ref="AM20" si="155">IF(AL24&lt;250,1000,0)</f>
        <v>0</v>
      </c>
      <c r="AN20" s="60">
        <f t="shared" ref="AN20" si="156">IF(AM24&lt;250,1000,0)</f>
        <v>0</v>
      </c>
      <c r="AO20" s="60">
        <f t="shared" ref="AO20" si="157">IF(AN24&lt;250,1000,0)</f>
        <v>1000</v>
      </c>
      <c r="AP20" s="60">
        <f t="shared" ref="AP20" si="158">IF(AO24&lt;250,1000,0)</f>
        <v>0</v>
      </c>
      <c r="AQ20" s="60">
        <f t="shared" ref="AQ20" si="159">IF(AP24&lt;250,1000,0)</f>
        <v>1000</v>
      </c>
      <c r="AR20" s="60">
        <f t="shared" ref="AR20" si="160">IF(AQ24&lt;250,1000,0)</f>
        <v>0</v>
      </c>
      <c r="AS20" s="60">
        <f t="shared" ref="AS20" si="161">IF(AR24&lt;250,1000,0)</f>
        <v>0</v>
      </c>
      <c r="AT20" s="60">
        <f t="shared" ref="AT20" si="162">IF(AS24&lt;250,1000,0)</f>
        <v>1000</v>
      </c>
      <c r="AU20" s="60">
        <f t="shared" ref="AU20" si="163">IF(AT24&lt;250,1000,0)</f>
        <v>0</v>
      </c>
      <c r="AV20" s="60">
        <f t="shared" ref="AV20" si="164">IF(AU24&lt;250,1000,0)</f>
        <v>1000</v>
      </c>
      <c r="AW20" s="60">
        <f t="shared" ref="AW20" si="165">IF(AV24&lt;250,1000,0)</f>
        <v>0</v>
      </c>
      <c r="AX20" s="60">
        <f t="shared" ref="AX20" si="166">IF(AW24&lt;250,1000,0)</f>
        <v>1000</v>
      </c>
      <c r="AY20" s="60">
        <f t="shared" ref="AY20" si="167">IF(AX24&lt;250,1000,0)</f>
        <v>0</v>
      </c>
      <c r="AZ20" s="60">
        <f t="shared" ref="AZ20" si="168">IF(AY24&lt;250,1000,0)</f>
        <v>1000</v>
      </c>
      <c r="BA20" s="60">
        <f t="shared" ref="BA20" si="169">IF(AZ24&lt;250,1000,0)</f>
        <v>0</v>
      </c>
      <c r="BB20" s="60">
        <f t="shared" ref="BB20" si="170">IF(BA24&lt;250,1000,0)</f>
        <v>1000</v>
      </c>
      <c r="BC20" s="60">
        <f t="shared" ref="BC20" si="171">IF(BB24&lt;250,1000,0)</f>
        <v>0</v>
      </c>
      <c r="BD20" s="60">
        <f t="shared" ref="BD20" si="172">IF(BC24&lt;250,1000,0)</f>
        <v>1000</v>
      </c>
      <c r="BE20" s="60">
        <f t="shared" ref="BE20" si="173">IF(BD24&lt;250,1000,0)</f>
        <v>1000</v>
      </c>
      <c r="BF20" s="60">
        <f t="shared" ref="BF20" si="174">IF(BE24&lt;250,1000,0)</f>
        <v>0</v>
      </c>
      <c r="BG20" s="60">
        <f t="shared" ref="BG20" si="175">IF(BF24&lt;250,1000,0)</f>
        <v>1000</v>
      </c>
      <c r="BH20" s="60">
        <f t="shared" ref="BH20" si="176">IF(BG24&lt;250,1000,0)</f>
        <v>1000</v>
      </c>
      <c r="BI20" s="60">
        <f t="shared" ref="BI20" si="177">IF(BH24&lt;250,1000,0)</f>
        <v>0</v>
      </c>
    </row>
    <row r="21" spans="1:61" x14ac:dyDescent="0.25">
      <c r="A21" s="59" t="s">
        <v>213</v>
      </c>
      <c r="B21" s="48">
        <f>RevenueModule!B53*RevenueModule!B57</f>
        <v>6</v>
      </c>
      <c r="C21" s="48">
        <f>RevenueModule!C53*RevenueModule!C57</f>
        <v>6.0120059999999995</v>
      </c>
      <c r="D21" s="48">
        <f>RevenueModule!D53*RevenueModule!D57</f>
        <v>6.0240360240059978</v>
      </c>
      <c r="E21" s="48">
        <f>RevenueModule!E53*RevenueModule!E57</f>
        <v>6.0360901200900328</v>
      </c>
      <c r="F21" s="48">
        <f>RevenueModule!F53*RevenueModule!F57</f>
        <v>6.0481683364203311</v>
      </c>
      <c r="G21" s="48">
        <f>RevenueModule!G53*RevenueModule!G57</f>
        <v>6.0602707212615075</v>
      </c>
      <c r="H21" s="48">
        <f>RevenueModule!H53*RevenueModule!H57</f>
        <v>6.0723973229747505</v>
      </c>
      <c r="I21" s="48">
        <f>RevenueModule!I53*RevenueModule!I57</f>
        <v>6.0845481900180216</v>
      </c>
      <c r="J21" s="48">
        <f>RevenueModule!J53*RevenueModule!J57</f>
        <v>6.0967233709462461</v>
      </c>
      <c r="K21" s="48">
        <f>RevenueModule!K53*RevenueModule!K57</f>
        <v>6.108922914411508</v>
      </c>
      <c r="L21" s="48">
        <f>RevenueModule!L53*RevenueModule!L57</f>
        <v>6.121146869163244</v>
      </c>
      <c r="M21" s="48">
        <f>RevenueModule!M53*RevenueModule!M57</f>
        <v>6.1333952840484383</v>
      </c>
      <c r="N21" s="48">
        <f>RevenueModule!N53*RevenueModule!N57</f>
        <v>6.1456682080118172</v>
      </c>
      <c r="O21" s="48">
        <f>RevenueModule!O53*RevenueModule!O57</f>
        <v>6.1579656900960478</v>
      </c>
      <c r="P21" s="48">
        <f>RevenueModule!P53*RevenueModule!P57</f>
        <v>6.170287779441928</v>
      </c>
      <c r="Q21" s="48">
        <f>RevenueModule!Q53*RevenueModule!Q57</f>
        <v>6.1826345252885906</v>
      </c>
      <c r="R21" s="48">
        <f>RevenueModule!R53*RevenueModule!R57</f>
        <v>6.1950059769736905</v>
      </c>
      <c r="S21" s="48">
        <f>RevenueModule!S53*RevenueModule!S57</f>
        <v>6.2074021839336133</v>
      </c>
      <c r="T21" s="48">
        <f>RevenueModule!T53*RevenueModule!T57</f>
        <v>6.2198231957036629</v>
      </c>
      <c r="U21" s="48">
        <f>RevenueModule!U53*RevenueModule!U57</f>
        <v>6.2322690619182639</v>
      </c>
      <c r="V21" s="48">
        <f>RevenueModule!V53*RevenueModule!V57</f>
        <v>6.2447398323111605</v>
      </c>
      <c r="W21" s="48">
        <f>RevenueModule!W53*RevenueModule!W57</f>
        <v>6.2572355567156137</v>
      </c>
      <c r="X21" s="48">
        <f>RevenueModule!X53*RevenueModule!X57</f>
        <v>6.2697562850646005</v>
      </c>
      <c r="Y21" s="48">
        <f>RevenueModule!Y53*RevenueModule!Y57</f>
        <v>6.2823020673910133</v>
      </c>
      <c r="Z21" s="48">
        <f>RevenueModule!Z53*RevenueModule!Z57</f>
        <v>6.2948729538278609</v>
      </c>
      <c r="AA21" s="48">
        <f>RevenueModule!AA53*RevenueModule!AA57</f>
        <v>6.3074689946084694</v>
      </c>
      <c r="AB21" s="48">
        <f>RevenueModule!AB53*RevenueModule!AB57</f>
        <v>6.3200902400666799</v>
      </c>
      <c r="AC21" s="48">
        <f>RevenueModule!AC53*RevenueModule!AC57</f>
        <v>6.3327367406370518</v>
      </c>
      <c r="AD21" s="48">
        <f>RevenueModule!AD53*RevenueModule!AD57</f>
        <v>6.3454085468550652</v>
      </c>
      <c r="AE21" s="48">
        <f>RevenueModule!AE53*RevenueModule!AE57</f>
        <v>6.3581057093573197</v>
      </c>
      <c r="AF21" s="48">
        <f>RevenueModule!AF53*RevenueModule!AF57</f>
        <v>6.3708282788817421</v>
      </c>
      <c r="AG21" s="48">
        <f>RevenueModule!AG53*RevenueModule!AG57</f>
        <v>6.3835763062677842</v>
      </c>
      <c r="AH21" s="48">
        <f>RevenueModule!AH53*RevenueModule!AH57</f>
        <v>6.3963498424566252</v>
      </c>
      <c r="AI21" s="48">
        <f>RevenueModule!AI53*RevenueModule!AI57</f>
        <v>6.4091489384913789</v>
      </c>
      <c r="AJ21" s="48">
        <f>RevenueModule!AJ53*RevenueModule!AJ57</f>
        <v>6.4219736455172987</v>
      </c>
      <c r="AK21" s="48">
        <f>RevenueModule!AK53*RevenueModule!AK57</f>
        <v>6.4348240147819773</v>
      </c>
      <c r="AL21" s="48">
        <f>RevenueModule!AL53*RevenueModule!AL57</f>
        <v>6.447700097635555</v>
      </c>
      <c r="AM21" s="48">
        <f>RevenueModule!AM53*RevenueModule!AM57</f>
        <v>6.4606019455309225</v>
      </c>
      <c r="AN21" s="48">
        <f>RevenueModule!AN53*RevenueModule!AN57</f>
        <v>6.4735296100239283</v>
      </c>
      <c r="AO21" s="48">
        <f>RevenueModule!AO53*RevenueModule!AO57</f>
        <v>6.4864831427735847</v>
      </c>
      <c r="AP21" s="48">
        <f>RevenueModule!AP53*RevenueModule!AP57</f>
        <v>6.4994625955422727</v>
      </c>
      <c r="AQ21" s="48">
        <f>RevenueModule!AQ53*RevenueModule!AQ57</f>
        <v>6.5124680201959517</v>
      </c>
      <c r="AR21" s="48">
        <f>RevenueModule!AR53*RevenueModule!AR57</f>
        <v>6.5254994687043624</v>
      </c>
      <c r="AS21" s="48">
        <f>RevenueModule!AS53*RevenueModule!AS57</f>
        <v>6.5385569931412384</v>
      </c>
      <c r="AT21" s="48">
        <f>RevenueModule!AT53*RevenueModule!AT57</f>
        <v>6.5516406456845129</v>
      </c>
      <c r="AU21" s="48">
        <f>RevenueModule!AU53*RevenueModule!AU57</f>
        <v>6.5647504786165261</v>
      </c>
      <c r="AV21" s="48">
        <f>RevenueModule!AV53*RevenueModule!AV57</f>
        <v>6.5778865443242358</v>
      </c>
      <c r="AW21" s="48">
        <f>RevenueModule!AW53*RevenueModule!AW57</f>
        <v>6.5910488952994273</v>
      </c>
      <c r="AX21" s="48">
        <f>RevenueModule!AX53*RevenueModule!AX57</f>
        <v>6.6042375841389207</v>
      </c>
      <c r="AY21" s="48">
        <f>RevenueModule!AY53*RevenueModule!AY57</f>
        <v>6.617452663544781</v>
      </c>
      <c r="AZ21" s="48">
        <f>RevenueModule!AZ53*RevenueModule!AZ57</f>
        <v>6.6306941863245328</v>
      </c>
      <c r="BA21" s="48">
        <f>RevenueModule!BA53*RevenueModule!BA57</f>
        <v>6.6439622053913663</v>
      </c>
      <c r="BB21" s="48">
        <f>RevenueModule!BB53*RevenueModule!BB57</f>
        <v>6.6572567737643524</v>
      </c>
      <c r="BC21" s="48">
        <f>RevenueModule!BC53*RevenueModule!BC57</f>
        <v>6.6705779445686533</v>
      </c>
      <c r="BD21" s="48">
        <f>RevenueModule!BD53*RevenueModule!BD57</f>
        <v>6.6839257710357334</v>
      </c>
      <c r="BE21" s="48">
        <f>RevenueModule!BE53*RevenueModule!BE57</f>
        <v>6.6973003065035748</v>
      </c>
      <c r="BF21" s="48">
        <f>RevenueModule!BF53*RevenueModule!BF57</f>
        <v>6.7107016044168875</v>
      </c>
      <c r="BG21" s="48">
        <f>RevenueModule!BG53*RevenueModule!BG57</f>
        <v>6.7241297183273243</v>
      </c>
      <c r="BH21" s="48">
        <f>RevenueModule!BH53*RevenueModule!BH57</f>
        <v>6.7375847018936961</v>
      </c>
      <c r="BI21" s="48">
        <f>RevenueModule!BI53*RevenueModule!BI57</f>
        <v>6.7510666088821836</v>
      </c>
    </row>
    <row r="22" spans="1:61" x14ac:dyDescent="0.25">
      <c r="A22" s="59" t="s">
        <v>214</v>
      </c>
      <c r="B22" s="51">
        <f>B20*B21</f>
        <v>6000</v>
      </c>
      <c r="C22" s="51">
        <f t="shared" ref="C22:BI22" si="178">C20*C21</f>
        <v>0</v>
      </c>
      <c r="D22" s="51">
        <f t="shared" si="178"/>
        <v>0</v>
      </c>
      <c r="E22" s="51">
        <f t="shared" si="178"/>
        <v>0</v>
      </c>
      <c r="F22" s="51">
        <f t="shared" si="178"/>
        <v>0</v>
      </c>
      <c r="G22" s="51">
        <f t="shared" si="178"/>
        <v>0</v>
      </c>
      <c r="H22" s="51">
        <f t="shared" si="178"/>
        <v>0</v>
      </c>
      <c r="I22" s="51">
        <f t="shared" si="178"/>
        <v>0</v>
      </c>
      <c r="J22" s="51">
        <f t="shared" si="178"/>
        <v>0</v>
      </c>
      <c r="K22" s="51">
        <f t="shared" si="178"/>
        <v>0</v>
      </c>
      <c r="L22" s="51">
        <f t="shared" si="178"/>
        <v>0</v>
      </c>
      <c r="M22" s="51">
        <f t="shared" si="178"/>
        <v>0</v>
      </c>
      <c r="N22" s="51">
        <f t="shared" si="178"/>
        <v>0</v>
      </c>
      <c r="O22" s="51">
        <f t="shared" si="178"/>
        <v>0</v>
      </c>
      <c r="P22" s="51">
        <f t="shared" si="178"/>
        <v>0</v>
      </c>
      <c r="Q22" s="51">
        <f t="shared" si="178"/>
        <v>0</v>
      </c>
      <c r="R22" s="51">
        <f t="shared" si="178"/>
        <v>0</v>
      </c>
      <c r="S22" s="51">
        <f t="shared" si="178"/>
        <v>0</v>
      </c>
      <c r="T22" s="51">
        <f t="shared" si="178"/>
        <v>0</v>
      </c>
      <c r="U22" s="51">
        <f t="shared" si="178"/>
        <v>6232.269061918264</v>
      </c>
      <c r="V22" s="51">
        <f t="shared" si="178"/>
        <v>0</v>
      </c>
      <c r="W22" s="51">
        <f t="shared" si="178"/>
        <v>0</v>
      </c>
      <c r="X22" s="51">
        <f t="shared" si="178"/>
        <v>0</v>
      </c>
      <c r="Y22" s="51">
        <f t="shared" si="178"/>
        <v>0</v>
      </c>
      <c r="Z22" s="51">
        <f t="shared" si="178"/>
        <v>0</v>
      </c>
      <c r="AA22" s="51">
        <f t="shared" si="178"/>
        <v>0</v>
      </c>
      <c r="AB22" s="51">
        <f t="shared" si="178"/>
        <v>6320.0902400666801</v>
      </c>
      <c r="AC22" s="51">
        <f t="shared" si="178"/>
        <v>0</v>
      </c>
      <c r="AD22" s="51">
        <f t="shared" si="178"/>
        <v>0</v>
      </c>
      <c r="AE22" s="51">
        <f t="shared" si="178"/>
        <v>0</v>
      </c>
      <c r="AF22" s="51">
        <f t="shared" si="178"/>
        <v>0</v>
      </c>
      <c r="AG22" s="51">
        <f t="shared" si="178"/>
        <v>6383.5763062677843</v>
      </c>
      <c r="AH22" s="51">
        <f t="shared" si="178"/>
        <v>0</v>
      </c>
      <c r="AI22" s="51">
        <f t="shared" si="178"/>
        <v>0</v>
      </c>
      <c r="AJ22" s="51">
        <f t="shared" si="178"/>
        <v>0</v>
      </c>
      <c r="AK22" s="51">
        <f t="shared" si="178"/>
        <v>6434.824014781977</v>
      </c>
      <c r="AL22" s="51">
        <f t="shared" si="178"/>
        <v>0</v>
      </c>
      <c r="AM22" s="51">
        <f t="shared" si="178"/>
        <v>0</v>
      </c>
      <c r="AN22" s="51">
        <f t="shared" si="178"/>
        <v>0</v>
      </c>
      <c r="AO22" s="51">
        <f t="shared" si="178"/>
        <v>6486.4831427735844</v>
      </c>
      <c r="AP22" s="51">
        <f t="shared" si="178"/>
        <v>0</v>
      </c>
      <c r="AQ22" s="51">
        <f t="shared" si="178"/>
        <v>6512.4680201959518</v>
      </c>
      <c r="AR22" s="51">
        <f t="shared" si="178"/>
        <v>0</v>
      </c>
      <c r="AS22" s="51">
        <f t="shared" si="178"/>
        <v>0</v>
      </c>
      <c r="AT22" s="51">
        <f t="shared" si="178"/>
        <v>6551.6406456845125</v>
      </c>
      <c r="AU22" s="51">
        <f t="shared" si="178"/>
        <v>0</v>
      </c>
      <c r="AV22" s="51">
        <f t="shared" si="178"/>
        <v>6577.8865443242357</v>
      </c>
      <c r="AW22" s="51">
        <f t="shared" si="178"/>
        <v>0</v>
      </c>
      <c r="AX22" s="51">
        <f t="shared" si="178"/>
        <v>6604.2375841389203</v>
      </c>
      <c r="AY22" s="51">
        <f t="shared" si="178"/>
        <v>0</v>
      </c>
      <c r="AZ22" s="51">
        <f t="shared" si="178"/>
        <v>6630.6941863245329</v>
      </c>
      <c r="BA22" s="51">
        <f t="shared" si="178"/>
        <v>0</v>
      </c>
      <c r="BB22" s="51">
        <f t="shared" si="178"/>
        <v>6657.2567737643521</v>
      </c>
      <c r="BC22" s="51">
        <f t="shared" si="178"/>
        <v>0</v>
      </c>
      <c r="BD22" s="51">
        <f t="shared" si="178"/>
        <v>6683.9257710357333</v>
      </c>
      <c r="BE22" s="51">
        <f t="shared" si="178"/>
        <v>6697.3003065035746</v>
      </c>
      <c r="BF22" s="51">
        <f t="shared" si="178"/>
        <v>0</v>
      </c>
      <c r="BG22" s="51">
        <f t="shared" si="178"/>
        <v>6724.1297183273246</v>
      </c>
      <c r="BH22" s="51">
        <f t="shared" si="178"/>
        <v>6737.5847018936956</v>
      </c>
      <c r="BI22" s="51">
        <f t="shared" si="178"/>
        <v>0</v>
      </c>
    </row>
    <row r="23" spans="1:61" x14ac:dyDescent="0.25">
      <c r="A23" s="59" t="s">
        <v>232</v>
      </c>
      <c r="B23" s="60">
        <f>RevenueModule!B52</f>
        <v>0</v>
      </c>
      <c r="C23" s="60">
        <f>RevenueModule!C52</f>
        <v>0</v>
      </c>
      <c r="D23" s="60">
        <f>RevenueModule!D52</f>
        <v>0</v>
      </c>
      <c r="E23" s="60">
        <f>RevenueModule!E52</f>
        <v>5.0978144469515625</v>
      </c>
      <c r="F23" s="60">
        <f>RevenueModule!F52</f>
        <v>10.360646453721333</v>
      </c>
      <c r="G23" s="60">
        <f>RevenueModule!G52</f>
        <v>15.793068326486353</v>
      </c>
      <c r="H23" s="60">
        <f>RevenueModule!H52</f>
        <v>21.39979577345586</v>
      </c>
      <c r="I23" s="60">
        <f>RevenueModule!I52</f>
        <v>27.185693894173689</v>
      </c>
      <c r="J23" s="60">
        <f>RevenueModule!J52</f>
        <v>33.155783499205384</v>
      </c>
      <c r="K23" s="60">
        <f>RevenueModule!K52</f>
        <v>39.315247781510976</v>
      </c>
      <c r="L23" s="60">
        <f>RevenueModule!L52</f>
        <v>45.669439362267113</v>
      </c>
      <c r="M23" s="60">
        <f>RevenueModule!M52</f>
        <v>52.223887735468182</v>
      </c>
      <c r="N23" s="60">
        <f>RevenueModule!N52</f>
        <v>58.984307137311468</v>
      </c>
      <c r="O23" s="60">
        <f>RevenueModule!O52</f>
        <v>65.956604868165101</v>
      </c>
      <c r="P23" s="60">
        <f>RevenueModule!P52</f>
        <v>73.146890096837112</v>
      </c>
      <c r="Q23" s="60">
        <f>RevenueModule!Q52</f>
        <v>80.56148317891882</v>
      </c>
      <c r="R23" s="60">
        <f>RevenueModule!R52</f>
        <v>88.206925523175116</v>
      </c>
      <c r="S23" s="60">
        <f>RevenueModule!S52</f>
        <v>96.089990042308557</v>
      </c>
      <c r="T23" s="60">
        <f>RevenueModule!T52</f>
        <v>104.21769222694466</v>
      </c>
      <c r="U23" s="60">
        <f>RevenueModule!U52</f>
        <v>112.59730188438341</v>
      </c>
      <c r="V23" s="60">
        <f>RevenueModule!V52</f>
        <v>121.23635558655039</v>
      </c>
      <c r="W23" s="60">
        <f>RevenueModule!W52</f>
        <v>130.14266987467292</v>
      </c>
      <c r="X23" s="60">
        <f>RevenueModule!X52</f>
        <v>139.3243552715162</v>
      </c>
      <c r="Y23" s="60">
        <f>RevenueModule!Y52</f>
        <v>148.78983115555903</v>
      </c>
      <c r="Z23" s="60">
        <f>RevenueModule!Z52</f>
        <v>158.54784155528171</v>
      </c>
      <c r="AA23" s="60">
        <f>RevenueModule!AA52</f>
        <v>168.60747192580135</v>
      </c>
      <c r="AB23" s="60">
        <f>RevenueModule!AB52</f>
        <v>178.97816697443852</v>
      </c>
      <c r="AC23" s="60">
        <f>RevenueModule!AC52</f>
        <v>189.6697496064551</v>
      </c>
      <c r="AD23" s="60">
        <f>RevenueModule!AD52</f>
        <v>200.69244106718909</v>
      </c>
      <c r="AE23" s="60">
        <f>RevenueModule!AE52</f>
        <v>212.05688236214957</v>
      </c>
      <c r="AF23" s="60">
        <f>RevenueModule!AF52</f>
        <v>223.77415704235071</v>
      </c>
      <c r="AG23" s="60">
        <f>RevenueModule!AG52</f>
        <v>235.85581544828284</v>
      </c>
      <c r="AH23" s="60">
        <f>RevenueModule!AH52</f>
        <v>248.3139005124722</v>
      </c>
      <c r="AI23" s="60">
        <f>RevenueModule!AI52</f>
        <v>261.16097522759588</v>
      </c>
      <c r="AJ23" s="60">
        <f>RevenueModule!AJ52</f>
        <v>274.41015189463303</v>
      </c>
      <c r="AK23" s="60">
        <f>RevenueModule!AK52</f>
        <v>288.07512327357716</v>
      </c>
      <c r="AL23" s="60">
        <f>RevenueModule!AL52</f>
        <v>302.17019576784941</v>
      </c>
      <c r="AM23" s="60">
        <f>RevenueModule!AM52</f>
        <v>316.71032478277652</v>
      </c>
      <c r="AN23" s="60">
        <f>RevenueModule!AN52</f>
        <v>331.71115240837651</v>
      </c>
      <c r="AO23" s="60">
        <f>RevenueModule!AO52</f>
        <v>347.18904758727183</v>
      </c>
      <c r="AP23" s="60">
        <f>RevenueModule!AP52</f>
        <v>363.16114893987634</v>
      </c>
      <c r="AQ23" s="60">
        <f>RevenueModule!AQ52</f>
        <v>379.64541043113519</v>
      </c>
      <c r="AR23" s="60">
        <f>RevenueModule!AR52</f>
        <v>396.66065007608296</v>
      </c>
      <c r="AS23" s="60">
        <f>RevenueModule!AS52</f>
        <v>414.22660189539772</v>
      </c>
      <c r="AT23" s="60">
        <f>RevenueModule!AT52</f>
        <v>432.36397134702548</v>
      </c>
      <c r="AU23" s="60">
        <f>RevenueModule!AU52</f>
        <v>451.09449447590146</v>
      </c>
      <c r="AV23" s="60">
        <f>RevenueModule!AV52</f>
        <v>470.4410010408792</v>
      </c>
      <c r="AW23" s="60">
        <f>RevenueModule!AW52</f>
        <v>490.42748189627355</v>
      </c>
      <c r="AX23" s="60">
        <f>RevenueModule!AX52</f>
        <v>511.07916092501779</v>
      </c>
      <c r="AY23" s="60">
        <f>RevenueModule!AY52</f>
        <v>532.42257184141772</v>
      </c>
      <c r="AZ23" s="60">
        <f>RevenueModule!AZ52</f>
        <v>554.48564020395713</v>
      </c>
      <c r="BA23" s="60">
        <f>RevenueModule!BA52</f>
        <v>577.29777100267506</v>
      </c>
      <c r="BB23" s="60">
        <f>RevenueModule!BB52</f>
        <v>600.88994221140956</v>
      </c>
      <c r="BC23" s="60">
        <f>RevenueModule!BC52</f>
        <v>625.29480472280488</v>
      </c>
      <c r="BD23" s="60">
        <f>RevenueModule!BD52</f>
        <v>650.54678911353926</v>
      </c>
      <c r="BE23" s="60">
        <f>RevenueModule!BE52</f>
        <v>676.68221971889238</v>
      </c>
      <c r="BF23" s="60">
        <f>RevenueModule!BF52</f>
        <v>703.73943652967523</v>
      </c>
      <c r="BG23" s="60">
        <f>RevenueModule!BG52</f>
        <v>731.75892546086175</v>
      </c>
      <c r="BH23" s="60">
        <f>RevenueModule!BH52</f>
        <v>760.78345758014996</v>
      </c>
      <c r="BI23" s="60">
        <f>RevenueModule!BI52</f>
        <v>790.85823792633323</v>
      </c>
    </row>
    <row r="24" spans="1:61" x14ac:dyDescent="0.25">
      <c r="A24" s="59" t="s">
        <v>216</v>
      </c>
      <c r="B24" s="60">
        <f>B20-B23</f>
        <v>1000</v>
      </c>
      <c r="C24" s="60">
        <f>B24-C23+C20</f>
        <v>1000</v>
      </c>
      <c r="D24" s="60">
        <f t="shared" ref="D24" si="179">C24-D23+D20</f>
        <v>1000</v>
      </c>
      <c r="E24" s="60">
        <f t="shared" ref="E24" si="180">D24-E23+E20</f>
        <v>994.90218555304841</v>
      </c>
      <c r="F24" s="60">
        <f t="shared" ref="F24" si="181">E24-F23+F20</f>
        <v>984.54153909932711</v>
      </c>
      <c r="G24" s="60">
        <f t="shared" ref="G24" si="182">F24-G23+G20</f>
        <v>968.74847077284073</v>
      </c>
      <c r="H24" s="60">
        <f t="shared" ref="H24" si="183">G24-H23+H20</f>
        <v>947.34867499938491</v>
      </c>
      <c r="I24" s="60">
        <f t="shared" ref="I24" si="184">H24-I23+I20</f>
        <v>920.1629811052112</v>
      </c>
      <c r="J24" s="60">
        <f t="shared" ref="J24" si="185">I24-J23+J20</f>
        <v>887.00719760600578</v>
      </c>
      <c r="K24" s="60">
        <f t="shared" ref="K24" si="186">J24-K23+K20</f>
        <v>847.69194982449483</v>
      </c>
      <c r="L24" s="60">
        <f t="shared" ref="L24" si="187">K24-L23+L20</f>
        <v>802.02251046222773</v>
      </c>
      <c r="M24" s="60">
        <f t="shared" ref="M24" si="188">L24-M23+M20</f>
        <v>749.7986227267595</v>
      </c>
      <c r="N24" s="60">
        <f t="shared" ref="N24" si="189">M24-N23+N20</f>
        <v>690.81431558944803</v>
      </c>
      <c r="O24" s="60">
        <f t="shared" ref="O24" si="190">N24-O23+O20</f>
        <v>624.85771072128296</v>
      </c>
      <c r="P24" s="60">
        <f t="shared" ref="P24" si="191">O24-P23+P20</f>
        <v>551.71082062444589</v>
      </c>
      <c r="Q24" s="60">
        <f t="shared" ref="Q24" si="192">P24-Q23+Q20</f>
        <v>471.14933744552707</v>
      </c>
      <c r="R24" s="60">
        <f t="shared" ref="R24" si="193">Q24-R23+R20</f>
        <v>382.94241192235194</v>
      </c>
      <c r="S24" s="60">
        <f t="shared" ref="S24" si="194">R24-S23+S20</f>
        <v>286.85242188004338</v>
      </c>
      <c r="T24" s="60">
        <f t="shared" ref="T24" si="195">S24-T23+T20</f>
        <v>182.6347296530987</v>
      </c>
      <c r="U24" s="60">
        <f t="shared" ref="U24" si="196">T24-U23+U20</f>
        <v>1070.0374277687154</v>
      </c>
      <c r="V24" s="60">
        <f t="shared" ref="V24" si="197">U24-V23+V20</f>
        <v>948.80107218216494</v>
      </c>
      <c r="W24" s="60">
        <f t="shared" ref="W24" si="198">V24-W23+W20</f>
        <v>818.658402307492</v>
      </c>
      <c r="X24" s="60">
        <f t="shared" ref="X24" si="199">W24-X23+X20</f>
        <v>679.3340470359758</v>
      </c>
      <c r="Y24" s="60">
        <f t="shared" ref="Y24" si="200">X24-Y23+Y20</f>
        <v>530.5442158804168</v>
      </c>
      <c r="Z24" s="60">
        <f t="shared" ref="Z24" si="201">Y24-Z23+Z20</f>
        <v>371.99637432513509</v>
      </c>
      <c r="AA24" s="60">
        <f t="shared" ref="AA24" si="202">Z24-AA23+AA20</f>
        <v>203.38890239933374</v>
      </c>
      <c r="AB24" s="60">
        <f t="shared" ref="AB24" si="203">AA24-AB23+AB20</f>
        <v>1024.4107354248952</v>
      </c>
      <c r="AC24" s="60">
        <f t="shared" ref="AC24" si="204">AB24-AC23+AC20</f>
        <v>834.74098581844009</v>
      </c>
      <c r="AD24" s="60">
        <f t="shared" ref="AD24" si="205">AC24-AD23+AD20</f>
        <v>634.04854475125103</v>
      </c>
      <c r="AE24" s="60">
        <f t="shared" ref="AE24" si="206">AD24-AE23+AE20</f>
        <v>421.99166238910146</v>
      </c>
      <c r="AF24" s="60">
        <f t="shared" ref="AF24" si="207">AE24-AF23+AF20</f>
        <v>198.21750534675076</v>
      </c>
      <c r="AG24" s="60">
        <f t="shared" ref="AG24" si="208">AF24-AG23+AG20</f>
        <v>962.36168989846794</v>
      </c>
      <c r="AH24" s="60">
        <f t="shared" ref="AH24" si="209">AG24-AH23+AH20</f>
        <v>714.04778938599577</v>
      </c>
      <c r="AI24" s="60">
        <f t="shared" ref="AI24" si="210">AH24-AI23+AI20</f>
        <v>452.88681415839989</v>
      </c>
      <c r="AJ24" s="60">
        <f t="shared" ref="AJ24" si="211">AI24-AJ23+AJ20</f>
        <v>178.47666226376685</v>
      </c>
      <c r="AK24" s="60">
        <f t="shared" ref="AK24" si="212">AJ24-AK23+AK20</f>
        <v>890.40153899018969</v>
      </c>
      <c r="AL24" s="60">
        <f t="shared" ref="AL24" si="213">AK24-AL23+AL20</f>
        <v>588.23134322234023</v>
      </c>
      <c r="AM24" s="60">
        <f t="shared" ref="AM24" si="214">AL24-AM23+AM20</f>
        <v>271.5210184395637</v>
      </c>
      <c r="AN24" s="60">
        <f t="shared" ref="AN24" si="215">AM24-AN23+AN20</f>
        <v>-60.190133968812802</v>
      </c>
      <c r="AO24" s="60">
        <f t="shared" ref="AO24" si="216">AN24-AO23+AO20</f>
        <v>592.62081844391537</v>
      </c>
      <c r="AP24" s="60">
        <f t="shared" ref="AP24" si="217">AO24-AP23+AP20</f>
        <v>229.45966950403903</v>
      </c>
      <c r="AQ24" s="60">
        <f t="shared" ref="AQ24" si="218">AP24-AQ23+AQ20</f>
        <v>849.81425907290384</v>
      </c>
      <c r="AR24" s="60">
        <f t="shared" ref="AR24" si="219">AQ24-AR23+AR20</f>
        <v>453.15360899682088</v>
      </c>
      <c r="AS24" s="60">
        <f t="shared" ref="AS24" si="220">AR24-AS23+AS20</f>
        <v>38.927007101423158</v>
      </c>
      <c r="AT24" s="60">
        <f t="shared" ref="AT24" si="221">AS24-AT23+AT20</f>
        <v>606.56303575439767</v>
      </c>
      <c r="AU24" s="60">
        <f t="shared" ref="AU24" si="222">AT24-AU23+AU20</f>
        <v>155.46854127849622</v>
      </c>
      <c r="AV24" s="60">
        <f t="shared" ref="AV24" si="223">AU24-AV23+AV20</f>
        <v>685.02754023761702</v>
      </c>
      <c r="AW24" s="60">
        <f t="shared" ref="AW24" si="224">AV24-AW23+AW20</f>
        <v>194.60005834134347</v>
      </c>
      <c r="AX24" s="60">
        <f t="shared" ref="AX24" si="225">AW24-AX23+AX20</f>
        <v>683.52089741632562</v>
      </c>
      <c r="AY24" s="60">
        <f t="shared" ref="AY24" si="226">AX24-AY23+AY20</f>
        <v>151.0983255749079</v>
      </c>
      <c r="AZ24" s="60">
        <f t="shared" ref="AZ24" si="227">AY24-AZ23+AZ20</f>
        <v>596.61268537095077</v>
      </c>
      <c r="BA24" s="60">
        <f t="shared" ref="BA24" si="228">AZ24-BA23+BA20</f>
        <v>19.314914368275709</v>
      </c>
      <c r="BB24" s="60">
        <f t="shared" ref="BB24" si="229">BA24-BB23+BB20</f>
        <v>418.42497215686615</v>
      </c>
      <c r="BC24" s="60">
        <f t="shared" ref="BC24" si="230">BB24-BC23+BC20</f>
        <v>-206.86983256593874</v>
      </c>
      <c r="BD24" s="60">
        <f t="shared" ref="BD24" si="231">BC24-BD23+BD20</f>
        <v>142.583378320522</v>
      </c>
      <c r="BE24" s="60">
        <f t="shared" ref="BE24" si="232">BD24-BE23+BE20</f>
        <v>465.90115860162962</v>
      </c>
      <c r="BF24" s="60">
        <f t="shared" ref="BF24" si="233">BE24-BF23+BF20</f>
        <v>-237.83827792804561</v>
      </c>
      <c r="BG24" s="60">
        <f t="shared" ref="BG24" si="234">BF24-BG23+BG20</f>
        <v>30.40279661109264</v>
      </c>
      <c r="BH24" s="60">
        <f t="shared" ref="BH24" si="235">BG24-BH23+BH20</f>
        <v>269.61933903094268</v>
      </c>
      <c r="BI24" s="60">
        <f t="shared" ref="BI24" si="236">BH24-BI23+BI20</f>
        <v>-521.23889889539055</v>
      </c>
    </row>
    <row r="25" spans="1:61" x14ac:dyDescent="0.25">
      <c r="A25" s="59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</row>
    <row r="26" spans="1:61" x14ac:dyDescent="0.25">
      <c r="A26" t="s">
        <v>218</v>
      </c>
      <c r="B26" s="51">
        <f>(B10*B7)+(B14*B17)+(B21*B24)</f>
        <v>1004750</v>
      </c>
      <c r="C26" s="51">
        <f t="shared" ref="C26:BI26" si="237">(C10*C7)+(C14*C17)+(C21*C24)</f>
        <v>1004799.5247500001</v>
      </c>
      <c r="D26" s="51">
        <f t="shared" si="237"/>
        <v>1004849.1485990247</v>
      </c>
      <c r="E26" s="51">
        <f t="shared" si="237"/>
        <v>681543.83301064675</v>
      </c>
      <c r="F26" s="51">
        <f t="shared" si="237"/>
        <v>354184.06362124649</v>
      </c>
      <c r="G26" s="51">
        <f t="shared" si="237"/>
        <v>1002695.9062452044</v>
      </c>
      <c r="H26" s="51">
        <f t="shared" si="237"/>
        <v>667002.95872005739</v>
      </c>
      <c r="I26" s="51">
        <f t="shared" si="237"/>
        <v>327026.22735196864</v>
      </c>
      <c r="J26" s="51">
        <f t="shared" si="237"/>
        <v>962683.99625641119</v>
      </c>
      <c r="K26" s="51">
        <f t="shared" si="237"/>
        <v>613891.68916997919</v>
      </c>
      <c r="L26" s="51">
        <f t="shared" si="237"/>
        <v>260561.72328366587</v>
      </c>
      <c r="M26" s="51">
        <f t="shared" si="237"/>
        <v>882603.35462082806</v>
      </c>
      <c r="N26" s="51">
        <f t="shared" si="237"/>
        <v>519922.51445427985</v>
      </c>
      <c r="O26" s="51">
        <f t="shared" si="237"/>
        <v>152421.63622646412</v>
      </c>
      <c r="P26" s="51">
        <f t="shared" si="237"/>
        <v>759999.47240429348</v>
      </c>
      <c r="Q26" s="51">
        <f t="shared" si="237"/>
        <v>382550.90066594107</v>
      </c>
      <c r="R26" s="51">
        <f t="shared" si="237"/>
        <v>979966.71878047718</v>
      </c>
      <c r="S26" s="51">
        <f t="shared" si="237"/>
        <v>592133.42750265682</v>
      </c>
      <c r="T26" s="51">
        <f t="shared" si="237"/>
        <v>198933.00076424237</v>
      </c>
      <c r="U26" s="51">
        <f t="shared" si="237"/>
        <v>786474.91146175226</v>
      </c>
      <c r="V26" s="51">
        <f t="shared" si="237"/>
        <v>382179.26843147399</v>
      </c>
      <c r="W26" s="51">
        <f t="shared" si="237"/>
        <v>952132.77078569052</v>
      </c>
      <c r="X26" s="51">
        <f t="shared" si="237"/>
        <v>536196.7054009292</v>
      </c>
      <c r="Y26" s="51">
        <f t="shared" si="237"/>
        <v>133858.65835450028</v>
      </c>
      <c r="Z26" s="51">
        <f t="shared" si="237"/>
        <v>685742.69935808179</v>
      </c>
      <c r="AA26" s="51">
        <f t="shared" si="237"/>
        <v>251284.42921622336</v>
      </c>
      <c r="AB26" s="51">
        <f t="shared" si="237"/>
        <v>796639.62611800281</v>
      </c>
      <c r="AC26" s="51">
        <f t="shared" si="237"/>
        <v>349009.13498368935</v>
      </c>
      <c r="AD26" s="51">
        <f t="shared" si="237"/>
        <v>874521.08735697903</v>
      </c>
      <c r="AE26" s="51">
        <f t="shared" si="237"/>
        <v>412987.99789574108</v>
      </c>
      <c r="AF26" s="51">
        <f t="shared" si="237"/>
        <v>924213.77628546662</v>
      </c>
      <c r="AG26" s="51">
        <f t="shared" si="237"/>
        <v>454376.81933219585</v>
      </c>
      <c r="AH26" s="51">
        <f t="shared" si="237"/>
        <v>950507.96629383869</v>
      </c>
      <c r="AI26" s="51">
        <f t="shared" si="237"/>
        <v>458753.11818967556</v>
      </c>
      <c r="AJ26" s="51">
        <f t="shared" si="237"/>
        <v>958945.29394059523</v>
      </c>
      <c r="AK26" s="51">
        <f t="shared" si="237"/>
        <v>457175.1593940499</v>
      </c>
      <c r="AL26" s="51">
        <f t="shared" si="237"/>
        <v>920355.57488678733</v>
      </c>
      <c r="AM26" s="51">
        <f t="shared" si="237"/>
        <v>394636.89294017397</v>
      </c>
      <c r="AN26" s="51">
        <f t="shared" si="237"/>
        <v>839734.10352938157</v>
      </c>
      <c r="AO26" s="51">
        <f t="shared" si="237"/>
        <v>301834.52166071779</v>
      </c>
      <c r="AP26" s="51">
        <f t="shared" si="237"/>
        <v>727664.01909110765</v>
      </c>
      <c r="AQ26" s="51">
        <f t="shared" si="237"/>
        <v>190230.07749514648</v>
      </c>
      <c r="AR26" s="51">
        <f t="shared" si="237"/>
        <v>595511.85920071637</v>
      </c>
      <c r="AS26" s="51">
        <f t="shared" si="237"/>
        <v>9955.1933509917999</v>
      </c>
      <c r="AT26" s="51">
        <f t="shared" si="237"/>
        <v>399728.51505334245</v>
      </c>
      <c r="AU26" s="51">
        <f t="shared" si="237"/>
        <v>771338.60580856842</v>
      </c>
      <c r="AV26" s="51">
        <f t="shared" si="237"/>
        <v>178033.76076641207</v>
      </c>
      <c r="AW26" s="51">
        <f t="shared" si="237"/>
        <v>525154.44533101539</v>
      </c>
      <c r="AX26" s="51">
        <f t="shared" si="237"/>
        <v>-114085.291804066</v>
      </c>
      <c r="AY26" s="51">
        <f t="shared" si="237"/>
        <v>206624.60917553963</v>
      </c>
      <c r="AZ26" s="51">
        <f t="shared" si="237"/>
        <v>519984.85727657884</v>
      </c>
      <c r="BA26" s="51">
        <f t="shared" si="237"/>
        <v>-147039.22020497543</v>
      </c>
      <c r="BB26" s="51">
        <f t="shared" si="237"/>
        <v>136765.39453554034</v>
      </c>
      <c r="BC26" s="51">
        <f t="shared" si="237"/>
        <v>398208.6785435949</v>
      </c>
      <c r="BD26" s="51">
        <f t="shared" si="237"/>
        <v>649975.65127097431</v>
      </c>
      <c r="BE26" s="51">
        <f t="shared" si="237"/>
        <v>-74339.740451893405</v>
      </c>
      <c r="BF26" s="51">
        <f t="shared" si="237"/>
        <v>136020.55266703016</v>
      </c>
      <c r="BG26" s="51">
        <f t="shared" si="237"/>
        <v>334597.43651900854</v>
      </c>
      <c r="BH26" s="51">
        <f t="shared" si="237"/>
        <v>513897.61046764645</v>
      </c>
      <c r="BI26" s="51">
        <f t="shared" si="237"/>
        <v>-292573.03928483091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workbookViewId="0">
      <selection activeCell="C6" sqref="C6"/>
    </sheetView>
  </sheetViews>
  <sheetFormatPr defaultColWidth="8.85546875" defaultRowHeight="15" x14ac:dyDescent="0.25"/>
  <cols>
    <col min="1" max="1" width="7" bestFit="1" customWidth="1"/>
    <col min="2" max="2" width="34.140625" bestFit="1" customWidth="1"/>
    <col min="3" max="3" width="16.42578125" bestFit="1" customWidth="1"/>
    <col min="4" max="4" width="18.7109375" bestFit="1" customWidth="1"/>
    <col min="5" max="5" width="20" bestFit="1" customWidth="1"/>
    <col min="6" max="6" width="15.28515625" bestFit="1" customWidth="1"/>
  </cols>
  <sheetData>
    <row r="1" spans="1:6" x14ac:dyDescent="0.25">
      <c r="C1" s="4" t="s">
        <v>32</v>
      </c>
    </row>
    <row r="2" spans="1:6" x14ac:dyDescent="0.25">
      <c r="B2" s="4" t="s">
        <v>33</v>
      </c>
      <c r="C2" s="19">
        <v>500000</v>
      </c>
    </row>
    <row r="3" spans="1:6" x14ac:dyDescent="0.25">
      <c r="B3" s="4" t="s">
        <v>34</v>
      </c>
      <c r="C3" s="20">
        <v>120</v>
      </c>
    </row>
    <row r="4" spans="1:6" x14ac:dyDescent="0.25">
      <c r="B4" s="4" t="s">
        <v>35</v>
      </c>
      <c r="C4" s="18">
        <v>0.08</v>
      </c>
    </row>
    <row r="5" spans="1:6" x14ac:dyDescent="0.25">
      <c r="B5" s="4" t="s">
        <v>36</v>
      </c>
      <c r="C5" s="20">
        <v>37</v>
      </c>
    </row>
    <row r="7" spans="1:6" x14ac:dyDescent="0.25">
      <c r="B7" s="4" t="s">
        <v>32</v>
      </c>
    </row>
    <row r="8" spans="1:6" x14ac:dyDescent="0.25">
      <c r="A8" s="4" t="s">
        <v>17</v>
      </c>
      <c r="B8" s="4" t="s">
        <v>37</v>
      </c>
      <c r="C8" s="4" t="s">
        <v>38</v>
      </c>
      <c r="D8" s="4" t="s">
        <v>39</v>
      </c>
      <c r="E8" s="4" t="s">
        <v>40</v>
      </c>
      <c r="F8" s="4" t="s">
        <v>41</v>
      </c>
    </row>
    <row r="9" spans="1:6" x14ac:dyDescent="0.25">
      <c r="A9">
        <v>1</v>
      </c>
      <c r="B9">
        <f>IF(C5&lt;=1,1,0)</f>
        <v>0</v>
      </c>
      <c r="C9" s="3">
        <f>IF(AND(B9&gt;0,ISNUMBER(B9)),(-PMT((C4/12),C3,C2)),IF(B9=0,0,0))</f>
        <v>0</v>
      </c>
      <c r="D9" s="3">
        <f>IF(B9&lt;C3+1,(F9*C4)/12,0)</f>
        <v>0</v>
      </c>
      <c r="E9" s="3">
        <f>IF(B9&lt;=C3,C9-D9,0)</f>
        <v>0</v>
      </c>
      <c r="F9" s="3">
        <f>IF(AND(B9=1,B9&lt;&gt;0),C2,IF(B9=0,0,IF(AND(B9&gt;1,B9&lt;&gt;0,B9&lt;=C3),F8-E8,0)))</f>
        <v>0</v>
      </c>
    </row>
    <row r="10" spans="1:6" x14ac:dyDescent="0.25">
      <c r="A10">
        <v>2</v>
      </c>
      <c r="B10">
        <f>IF(A10=C5,1,IF(B9=0,0,IF(B9&lt;C3,(B9+1),0)))</f>
        <v>0</v>
      </c>
      <c r="C10" s="3">
        <f>IF(AND(B10&gt;0,ISNUMBER(B10)),(-PMT((C4/12),C3,C2)),IF(B10=0,0,0))</f>
        <v>0</v>
      </c>
      <c r="D10" s="3">
        <f>IF(B10&lt;C3+1,(F10*C4)/12,0)</f>
        <v>0</v>
      </c>
      <c r="E10" s="3">
        <f>IF(B10&lt;=C3,C10-D10,0)</f>
        <v>0</v>
      </c>
      <c r="F10" s="3">
        <f>IF(AND(B10=1,B10&lt;&gt;0),C2,IF(B10=0,0,IF(AND(B10&gt;1,B10&lt;&gt;0,B10&lt;=C3),F9-E9,0)))</f>
        <v>0</v>
      </c>
    </row>
    <row r="11" spans="1:6" x14ac:dyDescent="0.25">
      <c r="A11">
        <v>3</v>
      </c>
      <c r="B11">
        <f>IF(A11=C5,1,IF(B10=0,0,IF(B10&lt;C3,(B10+1),0)))</f>
        <v>0</v>
      </c>
      <c r="C11" s="3">
        <f>IF(AND(B11&gt;0,ISNUMBER(B11)),(-PMT((C4/12),C3,C2)),IF(B11=0,0,0))</f>
        <v>0</v>
      </c>
      <c r="D11" s="3">
        <f>IF(B11&lt;C3+1,(F11*C4)/12,0)</f>
        <v>0</v>
      </c>
      <c r="E11" s="3">
        <f>IF(B11&lt;=C3,C11-D11,0)</f>
        <v>0</v>
      </c>
      <c r="F11" s="3">
        <f>IF(AND(B11=1,B11&lt;&gt;0),C2,IF(B11=0,0,IF(AND(B11&gt;1,B11&lt;&gt;0,B11&lt;=C3),F10-E10,0)))</f>
        <v>0</v>
      </c>
    </row>
    <row r="12" spans="1:6" x14ac:dyDescent="0.25">
      <c r="A12">
        <v>4</v>
      </c>
      <c r="B12">
        <f>IF(A12=C5,1,IF(B11=0,0,IF(B11&lt;C3,(B11+1),0)))</f>
        <v>0</v>
      </c>
      <c r="C12" s="3">
        <f>IF(AND(B12&gt;0,ISNUMBER(B12)),(-PMT((C4/12),C3,C2)),IF(B12=0,0,0))</f>
        <v>0</v>
      </c>
      <c r="D12" s="3">
        <f>IF(B12&lt;C3+1,(F12*C4)/12,0)</f>
        <v>0</v>
      </c>
      <c r="E12" s="3">
        <f>IF(B12&lt;=C3,C12-D12,0)</f>
        <v>0</v>
      </c>
      <c r="F12" s="3">
        <f>IF(AND(B12=1,B12&lt;&gt;0),C2,IF(B12=0,0,IF(AND(B12&gt;1,B12&lt;&gt;0,B12&lt;=C3),F11-E11,0)))</f>
        <v>0</v>
      </c>
    </row>
    <row r="13" spans="1:6" x14ac:dyDescent="0.25">
      <c r="A13">
        <v>5</v>
      </c>
      <c r="B13">
        <f>IF(A13=C5,1,IF(B12=0,0,IF(B12&lt;C3,(B12+1),0)))</f>
        <v>0</v>
      </c>
      <c r="C13" s="3">
        <f>IF(AND(B13&gt;0,ISNUMBER(B13)),(-PMT((C4/12),C3,C2)),IF(B13=0,0,0))</f>
        <v>0</v>
      </c>
      <c r="D13" s="3">
        <f>IF(B13&lt;C3+1,(F13*C4)/12,0)</f>
        <v>0</v>
      </c>
      <c r="E13" s="3">
        <f>IF(B13&lt;=C3,C13-D13,0)</f>
        <v>0</v>
      </c>
      <c r="F13" s="3">
        <f>IF(AND(B13=1,B13&lt;&gt;0),C2,IF(B13=0,0,IF(AND(B13&gt;1,B13&lt;&gt;0,B13&lt;=C3),F12-E12,0)))</f>
        <v>0</v>
      </c>
    </row>
    <row r="14" spans="1:6" x14ac:dyDescent="0.25">
      <c r="A14">
        <v>6</v>
      </c>
      <c r="B14">
        <f>IF(A14=C5,1,IF(B13=0,0,IF(B13&lt;C3,(B13+1),0)))</f>
        <v>0</v>
      </c>
      <c r="C14" s="3">
        <f>IF(AND(B14&gt;0,ISNUMBER(B14)),(-PMT((C4/12),C3,C2)),IF(B14=0,0,0))</f>
        <v>0</v>
      </c>
      <c r="D14" s="3">
        <f>IF(B14&lt;C3+1,(F14*C4)/12,0)</f>
        <v>0</v>
      </c>
      <c r="E14" s="3">
        <f>IF(B14&lt;=C3,C14-D14,0)</f>
        <v>0</v>
      </c>
      <c r="F14" s="3">
        <f>IF(AND(B14=1,B14&lt;&gt;0),C2,IF(B14=0,0,IF(AND(B14&gt;1,B14&lt;&gt;0,B14&lt;=C3),F13-E13,0)))</f>
        <v>0</v>
      </c>
    </row>
    <row r="15" spans="1:6" x14ac:dyDescent="0.25">
      <c r="A15">
        <v>7</v>
      </c>
      <c r="B15">
        <f>IF(A15=C5,1,IF(B14=0,0,IF(B14&lt;C3,(B14+1),0)))</f>
        <v>0</v>
      </c>
      <c r="C15" s="3">
        <f>IF(AND(B15&gt;0,ISNUMBER(B15)),(-PMT((C4/12),C3,C2)),IF(B15=0,0,0))</f>
        <v>0</v>
      </c>
      <c r="D15" s="3">
        <f>IF(B15&lt;C3+1,(F15*C4)/12,0)</f>
        <v>0</v>
      </c>
      <c r="E15" s="3">
        <f>IF(B15&lt;=C3,C15-D15,0)</f>
        <v>0</v>
      </c>
      <c r="F15" s="3">
        <f>IF(AND(B15=1,B15&lt;&gt;0),C2,IF(B15=0,0,IF(AND(B15&gt;1,B15&lt;&gt;0,B15&lt;=C3),F14-E14,0)))</f>
        <v>0</v>
      </c>
    </row>
    <row r="16" spans="1:6" x14ac:dyDescent="0.25">
      <c r="A16">
        <v>8</v>
      </c>
      <c r="B16">
        <f>IF(A16=C5,1,IF(B15=0,0,IF(B15&lt;C3,(B15+1),0)))</f>
        <v>0</v>
      </c>
      <c r="C16" s="3">
        <f>IF(AND(B16&gt;0,ISNUMBER(B16)),(-PMT((C4/12),C3,C2)),IF(B16=0,0,0))</f>
        <v>0</v>
      </c>
      <c r="D16" s="3">
        <f>IF(B16&lt;C3+1,(F16*C4)/12,0)</f>
        <v>0</v>
      </c>
      <c r="E16" s="3">
        <f>IF(B16&lt;=C3,C16-D16,0)</f>
        <v>0</v>
      </c>
      <c r="F16" s="3">
        <f>IF(AND(B16=1,B16&lt;&gt;0),C2,IF(B16=0,0,IF(AND(B16&gt;1,B16&lt;&gt;0,B16&lt;=C3),F15-E15,0)))</f>
        <v>0</v>
      </c>
    </row>
    <row r="17" spans="1:6" x14ac:dyDescent="0.25">
      <c r="A17">
        <v>9</v>
      </c>
      <c r="B17">
        <f>IF(A17=C5,1,IF(B16=0,0,IF(B16&lt;C3,(B16+1),0)))</f>
        <v>0</v>
      </c>
      <c r="C17" s="3">
        <f>IF(AND(B17&gt;0,ISNUMBER(B17)),(-PMT((C4/12),C3,C2)),IF(B17=0,0,0))</f>
        <v>0</v>
      </c>
      <c r="D17" s="3">
        <f>IF(B17&lt;C3+1,(F17*C4)/12,0)</f>
        <v>0</v>
      </c>
      <c r="E17" s="3">
        <f>IF(B17&lt;=C3,C17-D17,0)</f>
        <v>0</v>
      </c>
      <c r="F17" s="3">
        <f>IF(AND(B17=1,B17&lt;&gt;0),C2,IF(B17=0,0,IF(AND(B17&gt;1,B17&lt;&gt;0,B17&lt;=C3),F16-E16,0)))</f>
        <v>0</v>
      </c>
    </row>
    <row r="18" spans="1:6" x14ac:dyDescent="0.25">
      <c r="A18">
        <v>10</v>
      </c>
      <c r="B18">
        <f>IF(A18=C5,1,IF(B17=0,0,IF(B17&lt;C3,(B17+1),0)))</f>
        <v>0</v>
      </c>
      <c r="C18" s="3">
        <f>IF(AND(B18&gt;0,ISNUMBER(B18)),(-PMT((C4/12),C3,C2)),IF(B18=0,0,0))</f>
        <v>0</v>
      </c>
      <c r="D18" s="3">
        <f>IF(B18&lt;C3+1,(F18*C4)/12,0)</f>
        <v>0</v>
      </c>
      <c r="E18" s="3">
        <f>IF(B18&lt;=C3,C18-D18,0)</f>
        <v>0</v>
      </c>
      <c r="F18" s="3">
        <f>IF(AND(B18=1,B18&lt;&gt;0),C2,IF(B18=0,0,IF(AND(B18&gt;1,B18&lt;&gt;0,B18&lt;=C3),F17-E17,0)))</f>
        <v>0</v>
      </c>
    </row>
    <row r="19" spans="1:6" x14ac:dyDescent="0.25">
      <c r="A19">
        <v>11</v>
      </c>
      <c r="B19">
        <f>IF(A19=C5,1,IF(B18=0,0,IF(B18&lt;C3,(B18+1),0)))</f>
        <v>0</v>
      </c>
      <c r="C19" s="3">
        <f>IF(AND(B19&gt;0,ISNUMBER(B19)),(-PMT((C4/12),C3,C2)),IF(B19=0,0,0))</f>
        <v>0</v>
      </c>
      <c r="D19" s="3">
        <f>IF(B19&lt;C3+1,(F19*C4)/12,0)</f>
        <v>0</v>
      </c>
      <c r="E19" s="3">
        <f>IF(B19&lt;=C3,C19-D19,0)</f>
        <v>0</v>
      </c>
      <c r="F19" s="3">
        <f>IF(AND(B19=1,B19&lt;&gt;0),C2,IF(B19=0,0,IF(AND(B19&gt;1,B19&lt;&gt;0,B19&lt;=C3),F18-E18,0)))</f>
        <v>0</v>
      </c>
    </row>
    <row r="20" spans="1:6" x14ac:dyDescent="0.25">
      <c r="A20">
        <v>12</v>
      </c>
      <c r="B20">
        <f>IF(A20=C5,1,IF(B19=0,0,IF(B19&lt;C3,(B19+1),0)))</f>
        <v>0</v>
      </c>
      <c r="C20" s="3">
        <f>IF(AND(B20&gt;0,ISNUMBER(B20)),(-PMT((C4/12),C3,C2)),IF(B20=0,0,0))</f>
        <v>0</v>
      </c>
      <c r="D20" s="3">
        <f>IF(B20&lt;C3+1,(F20*C4)/12,0)</f>
        <v>0</v>
      </c>
      <c r="E20" s="3">
        <f>IF(B20&lt;=C3,C20-D20,0)</f>
        <v>0</v>
      </c>
      <c r="F20" s="3">
        <f>IF(AND(B20=1,B20&lt;&gt;0),C2,IF(B20=0,0,IF(AND(B20&gt;1,B20&lt;&gt;0,B20&lt;=C3),F19-E19,0)))</f>
        <v>0</v>
      </c>
    </row>
    <row r="21" spans="1:6" x14ac:dyDescent="0.25">
      <c r="A21">
        <v>13</v>
      </c>
      <c r="B21">
        <f>IF(A21=C5,1,IF(B20=0,0,IF(B20&lt;C3,(B20+1),0)))</f>
        <v>0</v>
      </c>
      <c r="C21" s="3">
        <f>IF(AND(B21&gt;0,ISNUMBER(B21)),(-PMT((C4/12),C3,C2)),IF(B21=0,0,0))</f>
        <v>0</v>
      </c>
      <c r="D21" s="3">
        <f>IF(B21&lt;C3+1,(F21*C4)/12,0)</f>
        <v>0</v>
      </c>
      <c r="E21" s="3">
        <f>IF(B21&lt;=C3,C21-D21,0)</f>
        <v>0</v>
      </c>
      <c r="F21" s="3">
        <f>IF(AND(B21=1,B21&lt;&gt;0),C2,IF(B21=0,0,IF(AND(B21&gt;1,B21&lt;&gt;0,B21&lt;=C3),F20-E20,0)))</f>
        <v>0</v>
      </c>
    </row>
    <row r="22" spans="1:6" x14ac:dyDescent="0.25">
      <c r="A22">
        <v>14</v>
      </c>
      <c r="B22">
        <f>IF(A22=C5,1,IF(B21=0,0,IF(B21&lt;C3,(B21+1),0)))</f>
        <v>0</v>
      </c>
      <c r="C22" s="3">
        <f>IF(AND(B22&gt;0,ISNUMBER(B22)),(-PMT((C4/12),C3,C2)),IF(B22=0,0,0))</f>
        <v>0</v>
      </c>
      <c r="D22" s="3">
        <f>IF(B22&lt;C3+1,(F22*C4)/12,0)</f>
        <v>0</v>
      </c>
      <c r="E22" s="3">
        <f>IF(B22&lt;=C3,C22-D22,0)</f>
        <v>0</v>
      </c>
      <c r="F22" s="3">
        <f>IF(AND(B22=1,B22&lt;&gt;0),C2,IF(B22=0,0,IF(AND(B22&gt;1,B22&lt;&gt;0,B22&lt;=C3),F21-E21,0)))</f>
        <v>0</v>
      </c>
    </row>
    <row r="23" spans="1:6" x14ac:dyDescent="0.25">
      <c r="A23">
        <v>15</v>
      </c>
      <c r="B23">
        <f>IF(A23=C5,1,IF(B22=0,0,IF(B22&lt;C3,(B22+1),0)))</f>
        <v>0</v>
      </c>
      <c r="C23" s="3">
        <f>IF(AND(B23&gt;0,ISNUMBER(B23)),(-PMT((C4/12),C3,C2)),IF(B23=0,0,0))</f>
        <v>0</v>
      </c>
      <c r="D23" s="3">
        <f>IF(B23&lt;C3+1,(F23*C4)/12,0)</f>
        <v>0</v>
      </c>
      <c r="E23" s="3">
        <f>IF(B23&lt;=C3,C23-D23,0)</f>
        <v>0</v>
      </c>
      <c r="F23" s="3">
        <f>IF(AND(B23=1,B23&lt;&gt;0),C2,IF(B23=0,0,IF(AND(B23&gt;1,B23&lt;&gt;0,B23&lt;=C3),F22-E22,0)))</f>
        <v>0</v>
      </c>
    </row>
    <row r="24" spans="1:6" x14ac:dyDescent="0.25">
      <c r="A24">
        <v>16</v>
      </c>
      <c r="B24">
        <f>IF(A24=C5,1,IF(B23=0,0,IF(B23&lt;C3,(B23+1),0)))</f>
        <v>0</v>
      </c>
      <c r="C24" s="3">
        <f>IF(AND(B24&gt;0,ISNUMBER(B24)),(-PMT((C4/12),C3,C2)),IF(B24=0,0,0))</f>
        <v>0</v>
      </c>
      <c r="D24" s="3">
        <f>IF(B24&lt;C3+1,(F24*C4)/12,0)</f>
        <v>0</v>
      </c>
      <c r="E24" s="3">
        <f>IF(B24&lt;=C3,C24-D24,0)</f>
        <v>0</v>
      </c>
      <c r="F24" s="3">
        <f>IF(AND(B24=1,B24&lt;&gt;0),C2,IF(B24=0,0,IF(AND(B24&gt;1,B24&lt;&gt;0,B24&lt;=C3),F23-E23,0)))</f>
        <v>0</v>
      </c>
    </row>
    <row r="25" spans="1:6" x14ac:dyDescent="0.25">
      <c r="A25">
        <v>17</v>
      </c>
      <c r="B25">
        <f>IF(A25=C5,1,IF(B24=0,0,IF(B24&lt;C3,(B24+1),0)))</f>
        <v>0</v>
      </c>
      <c r="C25" s="3">
        <f>IF(AND(B25&gt;0,ISNUMBER(B25)),(-PMT((C4/12),C3,C2)),IF(B25=0,0,0))</f>
        <v>0</v>
      </c>
      <c r="D25" s="3">
        <f>IF(B25&lt;C3+1,(F25*C4)/12,0)</f>
        <v>0</v>
      </c>
      <c r="E25" s="3">
        <f>IF(B25&lt;=C3,C25-D25,0)</f>
        <v>0</v>
      </c>
      <c r="F25" s="3">
        <f>IF(AND(B25=1,B25&lt;&gt;0),C2,IF(B25=0,0,IF(AND(B25&gt;1,B25&lt;&gt;0,B25&lt;=C3),F24-E24,0)))</f>
        <v>0</v>
      </c>
    </row>
    <row r="26" spans="1:6" x14ac:dyDescent="0.25">
      <c r="A26">
        <v>18</v>
      </c>
      <c r="B26">
        <f>IF(A26=C5,1,IF(B25=0,0,IF(B25&lt;C3,(B25+1),0)))</f>
        <v>0</v>
      </c>
      <c r="C26" s="3">
        <f>IF(AND(B26&gt;0,ISNUMBER(B26)),(-PMT((C4/12),C3,C2)),IF(B26=0,0,0))</f>
        <v>0</v>
      </c>
      <c r="D26" s="3">
        <f>IF(B26&lt;C3+1,(F26*C4)/12,0)</f>
        <v>0</v>
      </c>
      <c r="E26" s="3">
        <f>IF(B26&lt;=C3,C26-D26,0)</f>
        <v>0</v>
      </c>
      <c r="F26" s="3">
        <f>IF(AND(B26=1,B26&lt;&gt;0),C2,IF(B26=0,0,IF(AND(B26&gt;1,B26&lt;&gt;0,B26&lt;=C3),F25-E25,0)))</f>
        <v>0</v>
      </c>
    </row>
    <row r="27" spans="1:6" x14ac:dyDescent="0.25">
      <c r="A27">
        <v>19</v>
      </c>
      <c r="B27">
        <f>IF(A27=C5,1,IF(B26=0,0,IF(B26&lt;C3,(B26+1),0)))</f>
        <v>0</v>
      </c>
      <c r="C27" s="3">
        <f>IF(AND(B27&gt;0,ISNUMBER(B27)),(-PMT((C4/12),C3,C2)),IF(B27=0,0,0))</f>
        <v>0</v>
      </c>
      <c r="D27" s="3">
        <f>IF(B27&lt;C3+1,(F27*C4)/12,0)</f>
        <v>0</v>
      </c>
      <c r="E27" s="3">
        <f>IF(B27&lt;=C3,C27-D27,0)</f>
        <v>0</v>
      </c>
      <c r="F27" s="3">
        <f>IF(AND(B27=1,B27&lt;&gt;0),C2,IF(B27=0,0,IF(AND(B27&gt;1,B27&lt;&gt;0,B27&lt;=C3),F26-E26,0)))</f>
        <v>0</v>
      </c>
    </row>
    <row r="28" spans="1:6" x14ac:dyDescent="0.25">
      <c r="A28">
        <v>20</v>
      </c>
      <c r="B28">
        <f>IF(A28=C5,1,IF(B27=0,0,IF(B27&lt;C3,(B27+1),0)))</f>
        <v>0</v>
      </c>
      <c r="C28" s="3">
        <f>IF(AND(B28&gt;0,ISNUMBER(B28)),(-PMT((C4/12),C3,C2)),IF(B28=0,0,0))</f>
        <v>0</v>
      </c>
      <c r="D28" s="3">
        <f>IF(B28&lt;C3+1,(F28*C4)/12,0)</f>
        <v>0</v>
      </c>
      <c r="E28" s="3">
        <f>IF(B28&lt;=C3,C28-D28,0)</f>
        <v>0</v>
      </c>
      <c r="F28" s="3">
        <f>IF(AND(B28=1,B28&lt;&gt;0),C2,IF(B28=0,0,IF(AND(B28&gt;1,B28&lt;&gt;0,B28&lt;=C3),F27-E27,0)))</f>
        <v>0</v>
      </c>
    </row>
    <row r="29" spans="1:6" x14ac:dyDescent="0.25">
      <c r="A29">
        <v>21</v>
      </c>
      <c r="B29">
        <f>IF(A29=C5,1,IF(B28=0,0,IF(B28&lt;C3,(B28+1),0)))</f>
        <v>0</v>
      </c>
      <c r="C29" s="3">
        <f>IF(AND(B29&gt;0,ISNUMBER(B29)),(-PMT((C4/12),C3,C2)),IF(B29=0,0,0))</f>
        <v>0</v>
      </c>
      <c r="D29" s="3">
        <f>IF(B29&lt;C3+1,(F29*C4)/12,0)</f>
        <v>0</v>
      </c>
      <c r="E29" s="3">
        <f>IF(B29&lt;=C3,C29-D29,0)</f>
        <v>0</v>
      </c>
      <c r="F29" s="3">
        <f>IF(AND(B29=1,B29&lt;&gt;0),C2,IF(B29=0,0,IF(AND(B29&gt;1,B29&lt;&gt;0,B29&lt;=C3),F28-E28,0)))</f>
        <v>0</v>
      </c>
    </row>
    <row r="30" spans="1:6" x14ac:dyDescent="0.25">
      <c r="A30">
        <v>22</v>
      </c>
      <c r="B30">
        <f>IF(A30=C5,1,IF(B29=0,0,IF(B29&lt;C3,(B29+1),0)))</f>
        <v>0</v>
      </c>
      <c r="C30" s="3">
        <f>IF(AND(B30&gt;0,ISNUMBER(B30)),(-PMT((C4/12),C3,C2)),IF(B30=0,0,0))</f>
        <v>0</v>
      </c>
      <c r="D30" s="3">
        <f>IF(B30&lt;C3+1,(F30*C4)/12,0)</f>
        <v>0</v>
      </c>
      <c r="E30" s="3">
        <f>IF(B30&lt;=C3,C30-D30,0)</f>
        <v>0</v>
      </c>
      <c r="F30" s="3">
        <f>IF(AND(B30=1,B30&lt;&gt;0),C2,IF(B30=0,0,IF(AND(B30&gt;1,B30&lt;&gt;0,B30&lt;=C3),F29-E29,0)))</f>
        <v>0</v>
      </c>
    </row>
    <row r="31" spans="1:6" x14ac:dyDescent="0.25">
      <c r="A31">
        <v>23</v>
      </c>
      <c r="B31">
        <f>IF(A31=C5,1,IF(B30=0,0,IF(B30&lt;C3,(B30+1),0)))</f>
        <v>0</v>
      </c>
      <c r="C31" s="3">
        <f>IF(AND(B31&gt;0,ISNUMBER(B31)),(-PMT((C4/12),C3,C2)),IF(B31=0,0,0))</f>
        <v>0</v>
      </c>
      <c r="D31" s="3">
        <f>IF(B31&lt;C3+1,(F31*C4)/12,0)</f>
        <v>0</v>
      </c>
      <c r="E31" s="3">
        <f>IF(B31&lt;=C3,C31-D31,0)</f>
        <v>0</v>
      </c>
      <c r="F31" s="3">
        <f>IF(AND(B31=1,B31&lt;&gt;0),C2,IF(B31=0,0,IF(AND(B31&gt;1,B31&lt;&gt;0,B31&lt;=C3),F30-E30,0)))</f>
        <v>0</v>
      </c>
    </row>
    <row r="32" spans="1:6" x14ac:dyDescent="0.25">
      <c r="A32">
        <v>24</v>
      </c>
      <c r="B32">
        <f>IF(A32=C5,1,IF(B31=0,0,IF(B31&lt;C3,(B31+1),0)))</f>
        <v>0</v>
      </c>
      <c r="C32" s="3">
        <f>IF(AND(B32&gt;0,ISNUMBER(B32)),(-PMT((C4/12),C3,C2)),IF(B32=0,0,0))</f>
        <v>0</v>
      </c>
      <c r="D32" s="3">
        <f>IF(B32&lt;C3+1,(F32*C4)/12,0)</f>
        <v>0</v>
      </c>
      <c r="E32" s="3">
        <f>IF(B32&lt;=C3,C32-D32,0)</f>
        <v>0</v>
      </c>
      <c r="F32" s="3">
        <f>IF(AND(B32=1,B32&lt;&gt;0),C2,IF(B32=0,0,IF(AND(B32&gt;1,B32&lt;&gt;0,B32&lt;=C3),F31-E31,0)))</f>
        <v>0</v>
      </c>
    </row>
    <row r="33" spans="1:6" x14ac:dyDescent="0.25">
      <c r="A33">
        <v>25</v>
      </c>
      <c r="B33">
        <f>IF(A33=C5,1,IF(B32=0,0,IF(B32&lt;C3,(B32+1),0)))</f>
        <v>0</v>
      </c>
      <c r="C33" s="3">
        <f>IF(AND(B33&gt;0,ISNUMBER(B33)),(-PMT((C4/12),C3,C2)),IF(B33=0,0,0))</f>
        <v>0</v>
      </c>
      <c r="D33" s="3">
        <f>IF(B33&lt;C3+1,(F33*C4)/12,0)</f>
        <v>0</v>
      </c>
      <c r="E33" s="3">
        <f>IF(B33&lt;=C3,C33-D33,0)</f>
        <v>0</v>
      </c>
      <c r="F33" s="3">
        <f>IF(AND(B33=1,B33&lt;&gt;0),C2,IF(B33=0,0,IF(AND(B33&gt;1,B33&lt;&gt;0,B33&lt;=C3),F32-E32,0)))</f>
        <v>0</v>
      </c>
    </row>
    <row r="34" spans="1:6" x14ac:dyDescent="0.25">
      <c r="A34">
        <v>26</v>
      </c>
      <c r="B34">
        <f>IF(A34=C5,1,IF(B33=0,0,IF(B33&lt;C3,(B33+1),0)))</f>
        <v>0</v>
      </c>
      <c r="C34" s="3">
        <f>IF(AND(B34&gt;0,ISNUMBER(B34)),(-PMT((C4/12),C3,C2)),IF(B34=0,0,0))</f>
        <v>0</v>
      </c>
      <c r="D34" s="3">
        <f>IF(B34&lt;C3+1,(F34*C4)/12,0)</f>
        <v>0</v>
      </c>
      <c r="E34" s="3">
        <f>IF(B34&lt;=C3,C34-D34,0)</f>
        <v>0</v>
      </c>
      <c r="F34" s="3">
        <f>IF(AND(B34=1,B34&lt;&gt;0),C2,IF(B34=0,0,IF(AND(B34&gt;1,B34&lt;&gt;0,B34&lt;=C3),F33-E33,0)))</f>
        <v>0</v>
      </c>
    </row>
    <row r="35" spans="1:6" x14ac:dyDescent="0.25">
      <c r="A35">
        <v>27</v>
      </c>
      <c r="B35">
        <f>IF(A35=C5,1,IF(B34=0,0,IF(B34&lt;C3,(B34+1),0)))</f>
        <v>0</v>
      </c>
      <c r="C35" s="3">
        <f>IF(AND(B35&gt;0,ISNUMBER(B35)),(-PMT((C4/12),C3,C2)),IF(B35=0,0,0))</f>
        <v>0</v>
      </c>
      <c r="D35" s="3">
        <f>IF(B35&lt;C3+1,(F35*C4)/12,0)</f>
        <v>0</v>
      </c>
      <c r="E35" s="3">
        <f>IF(B35&lt;=C3,C35-D35,0)</f>
        <v>0</v>
      </c>
      <c r="F35" s="3">
        <f>IF(AND(B35=1,B35&lt;&gt;0),C2,IF(B35=0,0,IF(AND(B35&gt;1,B35&lt;&gt;0,B35&lt;=C3),F34-E34,0)))</f>
        <v>0</v>
      </c>
    </row>
    <row r="36" spans="1:6" x14ac:dyDescent="0.25">
      <c r="A36">
        <v>28</v>
      </c>
      <c r="B36">
        <f>IF(A36=C5,1,IF(B35=0,0,IF(B35&lt;C3,(B35+1),0)))</f>
        <v>0</v>
      </c>
      <c r="C36" s="3">
        <f>IF(AND(B36&gt;0,ISNUMBER(B36)),(-PMT((C4/12),C3,C2)),IF(B36=0,0,0))</f>
        <v>0</v>
      </c>
      <c r="D36" s="3">
        <f>IF(B36&lt;C3+1,(F36*C4)/12,0)</f>
        <v>0</v>
      </c>
      <c r="E36" s="3">
        <f>IF(B36&lt;=C3,C36-D36,0)</f>
        <v>0</v>
      </c>
      <c r="F36" s="3">
        <f>IF(AND(B36=1,B36&lt;&gt;0),C2,IF(B36=0,0,IF(AND(B36&gt;1,B36&lt;&gt;0,B36&lt;=C3),F35-E35,0)))</f>
        <v>0</v>
      </c>
    </row>
    <row r="37" spans="1:6" x14ac:dyDescent="0.25">
      <c r="A37">
        <v>29</v>
      </c>
      <c r="B37">
        <f>IF(A37=C5,1,IF(B36=0,0,IF(B36&lt;C3,(B36+1),0)))</f>
        <v>0</v>
      </c>
      <c r="C37" s="3">
        <f>IF(AND(B37&gt;0,ISNUMBER(B37)),(-PMT((C4/12),C3,C2)),IF(B37=0,0,0))</f>
        <v>0</v>
      </c>
      <c r="D37" s="3">
        <f>IF(B37&lt;C3+1,(F37*C4)/12,0)</f>
        <v>0</v>
      </c>
      <c r="E37" s="3">
        <f>IF(B37&lt;=C3,C37-D37,0)</f>
        <v>0</v>
      </c>
      <c r="F37" s="3">
        <f>IF(AND(B37=1,B37&lt;&gt;0),C2,IF(B37=0,0,IF(AND(B37&gt;1,B37&lt;&gt;0,B37&lt;=C3),F36-E36,0)))</f>
        <v>0</v>
      </c>
    </row>
    <row r="38" spans="1:6" x14ac:dyDescent="0.25">
      <c r="A38">
        <v>30</v>
      </c>
      <c r="B38">
        <f>IF(A38=C5,1,IF(B37=0,0,IF(B37&lt;C3,(B37+1),0)))</f>
        <v>0</v>
      </c>
      <c r="C38" s="3">
        <f>IF(AND(B38&gt;0,ISNUMBER(B38)),(-PMT((C4/12),C3,C2)),IF(B38=0,0,0))</f>
        <v>0</v>
      </c>
      <c r="D38" s="3">
        <f>IF(B38&lt;C3+1,(F38*C4)/12,0)</f>
        <v>0</v>
      </c>
      <c r="E38" s="3">
        <f>IF(B38&lt;=C3,C38-D38,0)</f>
        <v>0</v>
      </c>
      <c r="F38" s="3">
        <f>IF(AND(B38=1,B38&lt;&gt;0),C2,IF(B38=0,0,IF(AND(B38&gt;1,B38&lt;&gt;0,B38&lt;=C3),F37-E37,0)))</f>
        <v>0</v>
      </c>
    </row>
    <row r="39" spans="1:6" x14ac:dyDescent="0.25">
      <c r="A39">
        <v>31</v>
      </c>
      <c r="B39">
        <f>IF(A39=C5,1,IF(B38=0,0,IF(B38&lt;C3,(B38+1),0)))</f>
        <v>0</v>
      </c>
      <c r="C39" s="3">
        <f>IF(AND(B39&gt;0,ISNUMBER(B39)),(-PMT((C4/12),C3,C2)),IF(B39=0,0,0))</f>
        <v>0</v>
      </c>
      <c r="D39" s="3">
        <f>IF(B39&lt;C3+1,(F39*C4)/12,0)</f>
        <v>0</v>
      </c>
      <c r="E39" s="3">
        <f>IF(B39&lt;=C3,C39-D39,0)</f>
        <v>0</v>
      </c>
      <c r="F39" s="3">
        <f>IF(AND(B39=1,B39&lt;&gt;0),C2,IF(B39=0,0,IF(AND(B39&gt;1,B39&lt;&gt;0,B39&lt;=C3),F38-E38,0)))</f>
        <v>0</v>
      </c>
    </row>
    <row r="40" spans="1:6" x14ac:dyDescent="0.25">
      <c r="A40">
        <v>32</v>
      </c>
      <c r="B40">
        <f>IF(A40=C5,1,IF(B39=0,0,IF(B39&lt;C3,(B39+1),0)))</f>
        <v>0</v>
      </c>
      <c r="C40" s="3">
        <f>IF(AND(B40&gt;0,ISNUMBER(B40)),(-PMT((C4/12),C3,C2)),IF(B40=0,0,0))</f>
        <v>0</v>
      </c>
      <c r="D40" s="3">
        <f>IF(B40&lt;C3+1,(F40*C4)/12,0)</f>
        <v>0</v>
      </c>
      <c r="E40" s="3">
        <f>IF(B40&lt;=C3,C40-D40,0)</f>
        <v>0</v>
      </c>
      <c r="F40" s="3">
        <f>IF(AND(B40=1,B40&lt;&gt;0),C2,IF(B40=0,0,IF(AND(B40&gt;1,B40&lt;&gt;0,B40&lt;=C3),F39-E39,0)))</f>
        <v>0</v>
      </c>
    </row>
    <row r="41" spans="1:6" x14ac:dyDescent="0.25">
      <c r="A41">
        <v>33</v>
      </c>
      <c r="B41">
        <f>IF(A41=C5,1,IF(B40=0,0,IF(B40&lt;C3,(B40+1),0)))</f>
        <v>0</v>
      </c>
      <c r="C41" s="3">
        <f>IF(AND(B41&gt;0,ISNUMBER(B41)),(-PMT((C4/12),C3,C2)),IF(B41=0,0,0))</f>
        <v>0</v>
      </c>
      <c r="D41" s="3">
        <f>IF(B41&lt;C3+1,(F41*C4)/12,0)</f>
        <v>0</v>
      </c>
      <c r="E41" s="3">
        <f>IF(B41&lt;=C3,C41-D41,0)</f>
        <v>0</v>
      </c>
      <c r="F41" s="3">
        <f>IF(AND(B41=1,B41&lt;&gt;0),C2,IF(B41=0,0,IF(AND(B41&gt;1,B41&lt;&gt;0,B41&lt;=C3),F40-E40,0)))</f>
        <v>0</v>
      </c>
    </row>
    <row r="42" spans="1:6" x14ac:dyDescent="0.25">
      <c r="A42">
        <v>34</v>
      </c>
      <c r="B42">
        <f>IF(A42=C5,1,IF(B41=0,0,IF(B41&lt;C3,(B41+1),0)))</f>
        <v>0</v>
      </c>
      <c r="C42" s="3">
        <f>IF(AND(B42&gt;0,ISNUMBER(B42)),(-PMT((C4/12),C3,C2)),IF(B42=0,0,0))</f>
        <v>0</v>
      </c>
      <c r="D42" s="3">
        <f>IF(B42&lt;C3+1,(F42*C4)/12,0)</f>
        <v>0</v>
      </c>
      <c r="E42" s="3">
        <f>IF(B42&lt;=C3,C42-D42,0)</f>
        <v>0</v>
      </c>
      <c r="F42" s="3">
        <f>IF(AND(B42=1,B42&lt;&gt;0),C2,IF(B42=0,0,IF(AND(B42&gt;1,B42&lt;&gt;0,B42&lt;=C3),F41-E41,0)))</f>
        <v>0</v>
      </c>
    </row>
    <row r="43" spans="1:6" x14ac:dyDescent="0.25">
      <c r="A43">
        <v>35</v>
      </c>
      <c r="B43">
        <f>IF(A43=C5,1,IF(B42=0,0,IF(B42&lt;C3,(B42+1),0)))</f>
        <v>0</v>
      </c>
      <c r="C43" s="3">
        <f>IF(AND(B43&gt;0,ISNUMBER(B43)),(-PMT((C4/12),C3,C2)),IF(B43=0,0,0))</f>
        <v>0</v>
      </c>
      <c r="D43" s="3">
        <f>IF(B43&lt;C3+1,(F43*C4)/12,0)</f>
        <v>0</v>
      </c>
      <c r="E43" s="3">
        <f>IF(B43&lt;=C3,C43-D43,0)</f>
        <v>0</v>
      </c>
      <c r="F43" s="3">
        <f>IF(AND(B43=1,B43&lt;&gt;0),C2,IF(B43=0,0,IF(AND(B43&gt;1,B43&lt;&gt;0,B43&lt;=C3),F42-E42,0)))</f>
        <v>0</v>
      </c>
    </row>
    <row r="44" spans="1:6" x14ac:dyDescent="0.25">
      <c r="A44">
        <v>36</v>
      </c>
      <c r="B44">
        <f>IF(A44=C5,1,IF(B43=0,0,IF(B43&lt;C3,(B43+1),0)))</f>
        <v>0</v>
      </c>
      <c r="C44" s="3">
        <f>IF(AND(B44&gt;0,ISNUMBER(B44)),(-PMT((C4/12),C3,C2)),IF(B44=0,0,0))</f>
        <v>0</v>
      </c>
      <c r="D44" s="3">
        <f>IF(B44&lt;C3+1,(F44*C4)/12,0)</f>
        <v>0</v>
      </c>
      <c r="E44" s="3">
        <f>IF(B44&lt;=C3,C44-D44,0)</f>
        <v>0</v>
      </c>
      <c r="F44" s="3">
        <f>IF(AND(B44=1,B44&lt;&gt;0),C2,IF(B44=0,0,IF(AND(B44&gt;1,B44&lt;&gt;0,B44&lt;=C3),F43-E43,0)))</f>
        <v>0</v>
      </c>
    </row>
    <row r="45" spans="1:6" x14ac:dyDescent="0.25">
      <c r="A45">
        <v>37</v>
      </c>
      <c r="B45">
        <f>IF(A45=$C$5,1,IF(B44=0,0,IF(B44&lt;$C$3,(B44+1),0)))</f>
        <v>1</v>
      </c>
      <c r="C45" s="3">
        <f>IF(AND(B45&gt;0,ISNUMBER(B45)),(-PMT(($C$4/12),$C$3,$C$2)),IF(B45=0,0,0))</f>
        <v>6066.3797177678462</v>
      </c>
      <c r="D45" s="3">
        <f>IF(B45&lt;$C$3+1,(F45*$C$4)/12,0)</f>
        <v>3333.3333333333335</v>
      </c>
      <c r="E45" s="3">
        <f>IF(B45&lt;=$C$3,C45-D45,0)</f>
        <v>2733.0463844345127</v>
      </c>
      <c r="F45" s="3">
        <f>IF(AND(B45=1,B45&lt;&gt;0),$C$2,IF(B45=0,0,IF(AND(B45&gt;1,B45&lt;&gt;0,B45&lt;=$C$3),F44-E44,0)))</f>
        <v>500000</v>
      </c>
    </row>
    <row r="46" spans="1:6" x14ac:dyDescent="0.25">
      <c r="A46">
        <v>38</v>
      </c>
      <c r="B46">
        <f t="shared" ref="B46:B69" si="0">IF(A46=$C$5,1,IF(B45=0,0,IF(B45&lt;$C$3,(B45+1),0)))</f>
        <v>2</v>
      </c>
      <c r="C46" s="3">
        <f t="shared" ref="C46:C69" si="1">IF(AND(B46&gt;0,ISNUMBER(B46)),(-PMT(($C$4/12),$C$3,$C$2)),IF(B46=0,0,0))</f>
        <v>6066.3797177678462</v>
      </c>
      <c r="D46" s="3">
        <f t="shared" ref="D46:D69" si="2">IF(B46&lt;$C$3+1,(F46*$C$4)/12,0)</f>
        <v>3315.1130241037699</v>
      </c>
      <c r="E46" s="3">
        <f t="shared" ref="E46:E69" si="3">IF(B46&lt;=$C$3,C46-D46,0)</f>
        <v>2751.2666936640762</v>
      </c>
      <c r="F46" s="3">
        <f t="shared" ref="F46:F69" si="4">IF(AND(B46=1,B46&lt;&gt;0),$C$2,IF(B46=0,0,IF(AND(B46&gt;1,B46&lt;&gt;0,B46&lt;=$C$3),F45-E45,0)))</f>
        <v>497266.95361556549</v>
      </c>
    </row>
    <row r="47" spans="1:6" x14ac:dyDescent="0.25">
      <c r="A47">
        <v>39</v>
      </c>
      <c r="B47">
        <f t="shared" si="0"/>
        <v>3</v>
      </c>
      <c r="C47" s="3">
        <f t="shared" si="1"/>
        <v>6066.3797177678462</v>
      </c>
      <c r="D47" s="3">
        <f t="shared" si="2"/>
        <v>3296.7712461460092</v>
      </c>
      <c r="E47" s="3">
        <f t="shared" si="3"/>
        <v>2769.608471621837</v>
      </c>
      <c r="F47" s="3">
        <f t="shared" si="4"/>
        <v>494515.68692190142</v>
      </c>
    </row>
    <row r="48" spans="1:6" x14ac:dyDescent="0.25">
      <c r="A48">
        <v>40</v>
      </c>
      <c r="B48">
        <f t="shared" si="0"/>
        <v>4</v>
      </c>
      <c r="C48" s="3">
        <f t="shared" si="1"/>
        <v>6066.3797177678462</v>
      </c>
      <c r="D48" s="3">
        <f t="shared" si="2"/>
        <v>3278.3071896685306</v>
      </c>
      <c r="E48" s="3">
        <f t="shared" si="3"/>
        <v>2788.0725280993156</v>
      </c>
      <c r="F48" s="3">
        <f t="shared" si="4"/>
        <v>491746.0784502796</v>
      </c>
    </row>
    <row r="49" spans="1:6" x14ac:dyDescent="0.25">
      <c r="A49">
        <v>41</v>
      </c>
      <c r="B49">
        <f t="shared" si="0"/>
        <v>5</v>
      </c>
      <c r="C49" s="3">
        <f t="shared" si="1"/>
        <v>6066.3797177678462</v>
      </c>
      <c r="D49" s="3">
        <f t="shared" si="2"/>
        <v>3259.7200394812021</v>
      </c>
      <c r="E49" s="3">
        <f t="shared" si="3"/>
        <v>2806.6596782866441</v>
      </c>
      <c r="F49" s="3">
        <f t="shared" si="4"/>
        <v>488958.00592218031</v>
      </c>
    </row>
    <row r="50" spans="1:6" x14ac:dyDescent="0.25">
      <c r="A50">
        <v>42</v>
      </c>
      <c r="B50">
        <f t="shared" si="0"/>
        <v>6</v>
      </c>
      <c r="C50" s="3">
        <f t="shared" si="1"/>
        <v>6066.3797177678462</v>
      </c>
      <c r="D50" s="3">
        <f t="shared" si="2"/>
        <v>3241.0089749592912</v>
      </c>
      <c r="E50" s="3">
        <f t="shared" si="3"/>
        <v>2825.370742808555</v>
      </c>
      <c r="F50" s="3">
        <f t="shared" si="4"/>
        <v>486151.34624389367</v>
      </c>
    </row>
    <row r="51" spans="1:6" x14ac:dyDescent="0.25">
      <c r="A51">
        <v>43</v>
      </c>
      <c r="B51">
        <f t="shared" si="0"/>
        <v>7</v>
      </c>
      <c r="C51" s="3">
        <f t="shared" si="1"/>
        <v>6066.3797177678462</v>
      </c>
      <c r="D51" s="3">
        <f t="shared" si="2"/>
        <v>3222.1731700072341</v>
      </c>
      <c r="E51" s="3">
        <f t="shared" si="3"/>
        <v>2844.206547760612</v>
      </c>
      <c r="F51" s="3">
        <f t="shared" si="4"/>
        <v>483325.97550108511</v>
      </c>
    </row>
    <row r="52" spans="1:6" x14ac:dyDescent="0.25">
      <c r="A52">
        <v>44</v>
      </c>
      <c r="B52">
        <f t="shared" si="0"/>
        <v>8</v>
      </c>
      <c r="C52" s="3">
        <f t="shared" si="1"/>
        <v>6066.3797177678462</v>
      </c>
      <c r="D52" s="3">
        <f t="shared" si="2"/>
        <v>3203.211793022163</v>
      </c>
      <c r="E52" s="3">
        <f t="shared" si="3"/>
        <v>2863.1679247456832</v>
      </c>
      <c r="F52" s="3">
        <f t="shared" si="4"/>
        <v>480481.76895332447</v>
      </c>
    </row>
    <row r="53" spans="1:6" x14ac:dyDescent="0.25">
      <c r="A53">
        <v>45</v>
      </c>
      <c r="B53">
        <f t="shared" si="0"/>
        <v>9</v>
      </c>
      <c r="C53" s="3">
        <f t="shared" si="1"/>
        <v>6066.3797177678462</v>
      </c>
      <c r="D53" s="3">
        <f t="shared" si="2"/>
        <v>3184.1240068571919</v>
      </c>
      <c r="E53" s="3">
        <f t="shared" si="3"/>
        <v>2882.2557109106542</v>
      </c>
      <c r="F53" s="3">
        <f t="shared" si="4"/>
        <v>477618.60102857876</v>
      </c>
    </row>
    <row r="54" spans="1:6" x14ac:dyDescent="0.25">
      <c r="A54">
        <v>46</v>
      </c>
      <c r="B54">
        <f t="shared" si="0"/>
        <v>10</v>
      </c>
      <c r="C54" s="3">
        <f t="shared" si="1"/>
        <v>6066.3797177678462</v>
      </c>
      <c r="D54" s="3">
        <f t="shared" si="2"/>
        <v>3164.9089687844539</v>
      </c>
      <c r="E54" s="3">
        <f t="shared" si="3"/>
        <v>2901.4707489833922</v>
      </c>
      <c r="F54" s="3">
        <f t="shared" si="4"/>
        <v>474736.34531766811</v>
      </c>
    </row>
    <row r="55" spans="1:6" x14ac:dyDescent="0.25">
      <c r="A55">
        <v>47</v>
      </c>
      <c r="B55">
        <f t="shared" si="0"/>
        <v>11</v>
      </c>
      <c r="C55" s="3">
        <f t="shared" si="1"/>
        <v>6066.3797177678462</v>
      </c>
      <c r="D55" s="3">
        <f t="shared" si="2"/>
        <v>3145.5658304578978</v>
      </c>
      <c r="E55" s="3">
        <f t="shared" si="3"/>
        <v>2920.8138873099483</v>
      </c>
      <c r="F55" s="3">
        <f t="shared" si="4"/>
        <v>471834.87456868473</v>
      </c>
    </row>
    <row r="56" spans="1:6" x14ac:dyDescent="0.25">
      <c r="A56">
        <v>48</v>
      </c>
      <c r="B56">
        <f t="shared" si="0"/>
        <v>12</v>
      </c>
      <c r="C56" s="3">
        <f t="shared" si="1"/>
        <v>6066.3797177678462</v>
      </c>
      <c r="D56" s="3">
        <f t="shared" si="2"/>
        <v>3126.0937378758322</v>
      </c>
      <c r="E56" s="3">
        <f t="shared" si="3"/>
        <v>2940.285979892014</v>
      </c>
      <c r="F56" s="3">
        <f t="shared" si="4"/>
        <v>468914.0606813748</v>
      </c>
    </row>
    <row r="57" spans="1:6" x14ac:dyDescent="0.25">
      <c r="A57">
        <v>49</v>
      </c>
      <c r="B57">
        <f t="shared" si="0"/>
        <v>13</v>
      </c>
      <c r="C57" s="3">
        <f t="shared" si="1"/>
        <v>6066.3797177678462</v>
      </c>
      <c r="D57" s="3">
        <f t="shared" si="2"/>
        <v>3106.4918313432186</v>
      </c>
      <c r="E57" s="3">
        <f t="shared" si="3"/>
        <v>2959.8878864246276</v>
      </c>
      <c r="F57" s="3">
        <f t="shared" si="4"/>
        <v>465973.77470148279</v>
      </c>
    </row>
    <row r="58" spans="1:6" x14ac:dyDescent="0.25">
      <c r="A58">
        <v>50</v>
      </c>
      <c r="B58">
        <f t="shared" si="0"/>
        <v>14</v>
      </c>
      <c r="C58" s="3">
        <f t="shared" si="1"/>
        <v>6066.3797177678462</v>
      </c>
      <c r="D58" s="3">
        <f t="shared" si="2"/>
        <v>3086.7592454337214</v>
      </c>
      <c r="E58" s="3">
        <f t="shared" si="3"/>
        <v>2979.6204723341248</v>
      </c>
      <c r="F58" s="3">
        <f t="shared" si="4"/>
        <v>463013.88681505818</v>
      </c>
    </row>
    <row r="59" spans="1:6" x14ac:dyDescent="0.25">
      <c r="A59">
        <v>51</v>
      </c>
      <c r="B59">
        <f t="shared" si="0"/>
        <v>15</v>
      </c>
      <c r="C59" s="3">
        <f t="shared" si="1"/>
        <v>6066.3797177678462</v>
      </c>
      <c r="D59" s="3">
        <f t="shared" si="2"/>
        <v>3066.8951089514935</v>
      </c>
      <c r="E59" s="3">
        <f t="shared" si="3"/>
        <v>2999.4846088163526</v>
      </c>
      <c r="F59" s="3">
        <f t="shared" si="4"/>
        <v>460034.26634272403</v>
      </c>
    </row>
    <row r="60" spans="1:6" x14ac:dyDescent="0.25">
      <c r="A60">
        <v>52</v>
      </c>
      <c r="B60">
        <f t="shared" si="0"/>
        <v>16</v>
      </c>
      <c r="C60" s="3">
        <f t="shared" si="1"/>
        <v>6066.3797177678462</v>
      </c>
      <c r="D60" s="3">
        <f t="shared" si="2"/>
        <v>3046.8985448927178</v>
      </c>
      <c r="E60" s="3">
        <f t="shared" si="3"/>
        <v>3019.4811728751283</v>
      </c>
      <c r="F60" s="3">
        <f t="shared" si="4"/>
        <v>457034.7817339077</v>
      </c>
    </row>
    <row r="61" spans="1:6" x14ac:dyDescent="0.25">
      <c r="A61">
        <v>53</v>
      </c>
      <c r="B61">
        <f t="shared" si="0"/>
        <v>17</v>
      </c>
      <c r="C61" s="3">
        <f t="shared" si="1"/>
        <v>6066.3797177678462</v>
      </c>
      <c r="D61" s="3">
        <f t="shared" si="2"/>
        <v>3026.7686704068838</v>
      </c>
      <c r="E61" s="3">
        <f t="shared" si="3"/>
        <v>3039.6110473609624</v>
      </c>
      <c r="F61" s="3">
        <f t="shared" si="4"/>
        <v>454015.30056103255</v>
      </c>
    </row>
    <row r="62" spans="1:6" x14ac:dyDescent="0.25">
      <c r="A62">
        <v>54</v>
      </c>
      <c r="B62">
        <f t="shared" si="0"/>
        <v>18</v>
      </c>
      <c r="C62" s="3">
        <f t="shared" si="1"/>
        <v>6066.3797177678462</v>
      </c>
      <c r="D62" s="3">
        <f t="shared" si="2"/>
        <v>3006.5045967578103</v>
      </c>
      <c r="E62" s="3">
        <f t="shared" si="3"/>
        <v>3059.8751210100359</v>
      </c>
      <c r="F62" s="3">
        <f t="shared" si="4"/>
        <v>450975.68951367156</v>
      </c>
    </row>
    <row r="63" spans="1:6" x14ac:dyDescent="0.25">
      <c r="A63">
        <v>55</v>
      </c>
      <c r="B63">
        <f t="shared" si="0"/>
        <v>19</v>
      </c>
      <c r="C63" s="3">
        <f t="shared" si="1"/>
        <v>6066.3797177678462</v>
      </c>
      <c r="D63" s="3">
        <f t="shared" si="2"/>
        <v>2986.1054292844096</v>
      </c>
      <c r="E63" s="3">
        <f t="shared" si="3"/>
        <v>3080.2742884834365</v>
      </c>
      <c r="F63" s="3">
        <f t="shared" si="4"/>
        <v>447915.8143926615</v>
      </c>
    </row>
    <row r="64" spans="1:6" x14ac:dyDescent="0.25">
      <c r="A64">
        <v>56</v>
      </c>
      <c r="B64">
        <f t="shared" si="0"/>
        <v>20</v>
      </c>
      <c r="C64" s="3">
        <f t="shared" si="1"/>
        <v>6066.3797177678462</v>
      </c>
      <c r="D64" s="3">
        <f t="shared" si="2"/>
        <v>2965.5702673611872</v>
      </c>
      <c r="E64" s="3">
        <f t="shared" si="3"/>
        <v>3100.8094504066589</v>
      </c>
      <c r="F64" s="3">
        <f t="shared" si="4"/>
        <v>444835.54010417807</v>
      </c>
    </row>
    <row r="65" spans="1:6" x14ac:dyDescent="0.25">
      <c r="A65">
        <v>57</v>
      </c>
      <c r="B65">
        <f t="shared" si="0"/>
        <v>21</v>
      </c>
      <c r="C65" s="3">
        <f t="shared" si="1"/>
        <v>6066.3797177678462</v>
      </c>
      <c r="D65" s="3">
        <f t="shared" si="2"/>
        <v>2944.8982043584765</v>
      </c>
      <c r="E65" s="3">
        <f t="shared" si="3"/>
        <v>3121.4815134093697</v>
      </c>
      <c r="F65" s="3">
        <f t="shared" si="4"/>
        <v>441734.73065377143</v>
      </c>
    </row>
    <row r="66" spans="1:6" x14ac:dyDescent="0.25">
      <c r="A66">
        <v>58</v>
      </c>
      <c r="B66">
        <f t="shared" si="0"/>
        <v>22</v>
      </c>
      <c r="C66" s="3">
        <f t="shared" si="1"/>
        <v>6066.3797177678462</v>
      </c>
      <c r="D66" s="3">
        <f t="shared" si="2"/>
        <v>2924.0883276024142</v>
      </c>
      <c r="E66" s="3">
        <f t="shared" si="3"/>
        <v>3142.2913901654319</v>
      </c>
      <c r="F66" s="3">
        <f t="shared" si="4"/>
        <v>438613.24914036208</v>
      </c>
    </row>
    <row r="67" spans="1:6" x14ac:dyDescent="0.25">
      <c r="A67">
        <v>59</v>
      </c>
      <c r="B67">
        <f t="shared" si="0"/>
        <v>23</v>
      </c>
      <c r="C67" s="3">
        <f t="shared" si="1"/>
        <v>6066.3797177678462</v>
      </c>
      <c r="D67" s="3">
        <f t="shared" si="2"/>
        <v>2903.1397183346439</v>
      </c>
      <c r="E67" s="3">
        <f t="shared" si="3"/>
        <v>3163.2399994332022</v>
      </c>
      <c r="F67" s="3">
        <f t="shared" si="4"/>
        <v>435470.95775019663</v>
      </c>
    </row>
    <row r="68" spans="1:6" x14ac:dyDescent="0.25">
      <c r="A68">
        <v>60</v>
      </c>
      <c r="B68">
        <f t="shared" si="0"/>
        <v>24</v>
      </c>
      <c r="C68" s="3">
        <f t="shared" si="1"/>
        <v>6066.3797177678462</v>
      </c>
      <c r="D68" s="3">
        <f t="shared" si="2"/>
        <v>2882.0514516717558</v>
      </c>
      <c r="E68" s="3">
        <f t="shared" si="3"/>
        <v>3184.3282660960904</v>
      </c>
      <c r="F68" s="3">
        <f t="shared" si="4"/>
        <v>432307.7177507634</v>
      </c>
    </row>
    <row r="69" spans="1:6" x14ac:dyDescent="0.25">
      <c r="A69">
        <v>61</v>
      </c>
      <c r="B69">
        <f t="shared" si="0"/>
        <v>25</v>
      </c>
      <c r="C69" s="3">
        <f t="shared" si="1"/>
        <v>6066.3797177678462</v>
      </c>
      <c r="D69" s="3">
        <f t="shared" si="2"/>
        <v>2860.8225965644488</v>
      </c>
      <c r="E69" s="3">
        <f t="shared" si="3"/>
        <v>3205.5571212033974</v>
      </c>
      <c r="F69" s="3">
        <f t="shared" si="4"/>
        <v>429123.38948466734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8"/>
  <sheetViews>
    <sheetView workbookViewId="0">
      <selection activeCell="A2" sqref="A2"/>
    </sheetView>
  </sheetViews>
  <sheetFormatPr defaultColWidth="8.85546875" defaultRowHeight="15" x14ac:dyDescent="0.25"/>
  <cols>
    <col min="1" max="1" width="45.140625" bestFit="1" customWidth="1"/>
    <col min="2" max="2" width="24.140625" bestFit="1" customWidth="1"/>
    <col min="3" max="3" width="17.42578125" bestFit="1" customWidth="1"/>
    <col min="4" max="4" width="38.42578125" bestFit="1" customWidth="1"/>
    <col min="5" max="5" width="16.42578125" bestFit="1" customWidth="1"/>
    <col min="6" max="6" width="15.42578125" bestFit="1" customWidth="1"/>
    <col min="7" max="7" width="35.42578125" bestFit="1" customWidth="1"/>
    <col min="8" max="37" width="11.85546875" bestFit="1" customWidth="1"/>
    <col min="38" max="64" width="11.42578125" bestFit="1" customWidth="1"/>
  </cols>
  <sheetData>
    <row r="1" spans="1:61" x14ac:dyDescent="0.25">
      <c r="A1" s="4" t="s">
        <v>228</v>
      </c>
      <c r="B1" s="4" t="s">
        <v>43</v>
      </c>
      <c r="C1" s="4" t="s">
        <v>44</v>
      </c>
      <c r="D1" s="4" t="s">
        <v>45</v>
      </c>
      <c r="E1" s="4" t="s">
        <v>46</v>
      </c>
      <c r="F1" s="4" t="s">
        <v>47</v>
      </c>
      <c r="G1" s="4" t="s">
        <v>48</v>
      </c>
    </row>
    <row r="2" spans="1:61" x14ac:dyDescent="0.25">
      <c r="A2" s="43" t="s">
        <v>42</v>
      </c>
      <c r="B2" s="19">
        <v>0</v>
      </c>
      <c r="C2" s="18">
        <v>0</v>
      </c>
      <c r="D2" s="19">
        <v>0</v>
      </c>
      <c r="E2" s="20">
        <v>1</v>
      </c>
      <c r="F2" s="20">
        <v>48</v>
      </c>
      <c r="G2" s="20">
        <v>2</v>
      </c>
    </row>
    <row r="3" spans="1:61" x14ac:dyDescent="0.25">
      <c r="A3" s="69" t="s">
        <v>221</v>
      </c>
      <c r="B3" s="19">
        <v>155000</v>
      </c>
      <c r="C3" s="18">
        <v>0.08</v>
      </c>
      <c r="D3" s="19">
        <v>15500</v>
      </c>
      <c r="E3" s="20">
        <v>1</v>
      </c>
      <c r="F3" s="20">
        <v>60</v>
      </c>
      <c r="G3" s="20">
        <v>1</v>
      </c>
    </row>
    <row r="4" spans="1:61" x14ac:dyDescent="0.25">
      <c r="A4" s="69" t="s">
        <v>219</v>
      </c>
      <c r="B4" s="19">
        <v>155000</v>
      </c>
      <c r="C4" s="18">
        <v>0.08</v>
      </c>
      <c r="D4" s="19">
        <v>15500</v>
      </c>
      <c r="E4" s="20">
        <v>1</v>
      </c>
      <c r="F4" s="20">
        <v>60</v>
      </c>
      <c r="G4" s="20">
        <v>1</v>
      </c>
    </row>
    <row r="5" spans="1:61" x14ac:dyDescent="0.25">
      <c r="A5" s="69" t="s">
        <v>220</v>
      </c>
      <c r="B5" s="19">
        <v>165000</v>
      </c>
      <c r="C5" s="18">
        <v>0.08</v>
      </c>
      <c r="D5" s="19">
        <v>10000</v>
      </c>
      <c r="E5" s="20">
        <v>1</v>
      </c>
      <c r="F5" s="20">
        <v>60</v>
      </c>
      <c r="G5" s="20">
        <v>1</v>
      </c>
    </row>
    <row r="6" spans="1:61" x14ac:dyDescent="0.25">
      <c r="A6" s="69" t="s">
        <v>222</v>
      </c>
      <c r="B6" s="19">
        <v>120000</v>
      </c>
      <c r="C6" s="18">
        <v>0.08</v>
      </c>
      <c r="D6" s="19">
        <v>12000</v>
      </c>
      <c r="E6" s="20">
        <v>2</v>
      </c>
      <c r="F6" s="20">
        <v>60</v>
      </c>
      <c r="G6" s="20">
        <v>1</v>
      </c>
    </row>
    <row r="7" spans="1:61" x14ac:dyDescent="0.25">
      <c r="A7" s="69" t="s">
        <v>154</v>
      </c>
      <c r="B7" s="19">
        <v>110000</v>
      </c>
      <c r="C7" s="18">
        <v>0.08</v>
      </c>
      <c r="D7" s="19">
        <v>12000</v>
      </c>
      <c r="E7" s="20">
        <v>3</v>
      </c>
      <c r="F7" s="20">
        <v>60</v>
      </c>
      <c r="G7" s="20">
        <v>1</v>
      </c>
    </row>
    <row r="8" spans="1:61" x14ac:dyDescent="0.25">
      <c r="A8" s="69" t="s">
        <v>224</v>
      </c>
      <c r="B8" s="19">
        <v>120000</v>
      </c>
      <c r="C8" s="18">
        <v>0.08</v>
      </c>
      <c r="D8" s="19">
        <v>12000</v>
      </c>
      <c r="E8" s="20">
        <v>3</v>
      </c>
      <c r="F8" s="20">
        <v>60</v>
      </c>
      <c r="G8" s="20">
        <v>1</v>
      </c>
    </row>
    <row r="9" spans="1:61" x14ac:dyDescent="0.25">
      <c r="A9" s="69" t="s">
        <v>225</v>
      </c>
      <c r="B9" s="19">
        <v>120000</v>
      </c>
      <c r="C9" s="18">
        <v>0.08</v>
      </c>
      <c r="D9" s="19">
        <v>12000</v>
      </c>
      <c r="E9" s="20">
        <v>4</v>
      </c>
      <c r="F9" s="20">
        <v>60</v>
      </c>
      <c r="G9" s="20">
        <v>1</v>
      </c>
    </row>
    <row r="10" spans="1:61" x14ac:dyDescent="0.25">
      <c r="A10" s="69" t="s">
        <v>223</v>
      </c>
      <c r="B10" s="19">
        <v>90000</v>
      </c>
      <c r="C10" s="18">
        <v>0.08</v>
      </c>
      <c r="D10" s="19">
        <v>9000</v>
      </c>
      <c r="E10" s="20">
        <v>4</v>
      </c>
      <c r="F10" s="20">
        <v>60</v>
      </c>
      <c r="G10" s="20">
        <v>1</v>
      </c>
    </row>
    <row r="11" spans="1:61" x14ac:dyDescent="0.25">
      <c r="A11" s="43" t="s">
        <v>155</v>
      </c>
      <c r="B11" s="19">
        <v>110000</v>
      </c>
      <c r="C11" s="18">
        <v>0.08</v>
      </c>
      <c r="D11" s="19">
        <v>11000</v>
      </c>
      <c r="E11" s="20">
        <v>7</v>
      </c>
      <c r="F11" s="20">
        <v>60</v>
      </c>
      <c r="G11" s="20">
        <v>1</v>
      </c>
    </row>
    <row r="12" spans="1:61" x14ac:dyDescent="0.25">
      <c r="A12" s="47"/>
    </row>
    <row r="14" spans="1:61" x14ac:dyDescent="0.25">
      <c r="B14">
        <v>1</v>
      </c>
      <c r="C14">
        <v>2</v>
      </c>
      <c r="D14">
        <v>3</v>
      </c>
      <c r="E14">
        <v>4</v>
      </c>
      <c r="F14">
        <v>5</v>
      </c>
      <c r="G14">
        <v>6</v>
      </c>
      <c r="H14">
        <v>7</v>
      </c>
      <c r="I14">
        <v>8</v>
      </c>
      <c r="J14">
        <v>9</v>
      </c>
      <c r="K14">
        <v>10</v>
      </c>
      <c r="L14">
        <v>11</v>
      </c>
      <c r="M14">
        <v>12</v>
      </c>
      <c r="N14">
        <v>13</v>
      </c>
      <c r="O14">
        <v>14</v>
      </c>
      <c r="P14">
        <v>15</v>
      </c>
      <c r="Q14">
        <v>16</v>
      </c>
      <c r="R14">
        <v>17</v>
      </c>
      <c r="S14">
        <v>18</v>
      </c>
      <c r="T14">
        <v>19</v>
      </c>
      <c r="U14">
        <v>20</v>
      </c>
      <c r="V14">
        <v>21</v>
      </c>
      <c r="W14">
        <v>22</v>
      </c>
      <c r="X14">
        <v>23</v>
      </c>
      <c r="Y14">
        <v>24</v>
      </c>
      <c r="Z14">
        <v>25</v>
      </c>
      <c r="AA14">
        <v>26</v>
      </c>
      <c r="AB14">
        <v>27</v>
      </c>
      <c r="AC14">
        <v>28</v>
      </c>
      <c r="AD14">
        <v>29</v>
      </c>
      <c r="AE14">
        <v>30</v>
      </c>
      <c r="AF14">
        <v>31</v>
      </c>
      <c r="AG14">
        <v>32</v>
      </c>
      <c r="AH14">
        <v>33</v>
      </c>
      <c r="AI14">
        <v>34</v>
      </c>
      <c r="AJ14">
        <v>35</v>
      </c>
      <c r="AK14">
        <v>36</v>
      </c>
      <c r="AL14">
        <v>37</v>
      </c>
      <c r="AM14">
        <v>38</v>
      </c>
      <c r="AN14">
        <v>39</v>
      </c>
      <c r="AO14">
        <v>40</v>
      </c>
      <c r="AP14">
        <v>41</v>
      </c>
      <c r="AQ14">
        <v>42</v>
      </c>
      <c r="AR14">
        <v>43</v>
      </c>
      <c r="AS14">
        <v>44</v>
      </c>
      <c r="AT14">
        <v>45</v>
      </c>
      <c r="AU14">
        <v>46</v>
      </c>
      <c r="AV14">
        <v>47</v>
      </c>
      <c r="AW14">
        <v>48</v>
      </c>
      <c r="AX14">
        <v>49</v>
      </c>
      <c r="AY14">
        <v>50</v>
      </c>
      <c r="AZ14">
        <v>51</v>
      </c>
      <c r="BA14">
        <v>52</v>
      </c>
      <c r="BB14">
        <v>53</v>
      </c>
      <c r="BC14">
        <v>54</v>
      </c>
      <c r="BD14">
        <v>55</v>
      </c>
      <c r="BE14">
        <v>56</v>
      </c>
      <c r="BF14">
        <v>57</v>
      </c>
      <c r="BG14">
        <v>58</v>
      </c>
      <c r="BH14">
        <v>59</v>
      </c>
      <c r="BI14">
        <v>60</v>
      </c>
    </row>
    <row r="15" spans="1:61" x14ac:dyDescent="0.25">
      <c r="A15" t="str">
        <f>A2</f>
        <v>Job Title</v>
      </c>
      <c r="B15" s="3">
        <f>IF(AND($B$14&gt;=E2,$B$14&lt;=F2),((B2*(1+C2)+D2)/12),0)*G2</f>
        <v>0</v>
      </c>
      <c r="C15" s="3">
        <f>IF(AND(C14&gt;=E2,C14&lt;=F2),((B2*(1+C2)+D2)/12),0)*G2</f>
        <v>0</v>
      </c>
      <c r="D15" s="3">
        <f>IF(AND(D14&gt;=E2,D14&lt;=F2),((B2*(1+C2)+D2)/12),0)*G2</f>
        <v>0</v>
      </c>
      <c r="E15" s="3">
        <f>IF(AND(E14&gt;=E2,E14&lt;=F2),((B2*(1+C2)+D2)/12),0)*G2</f>
        <v>0</v>
      </c>
      <c r="F15" s="3">
        <f>IF(AND(F14&gt;=E2,F14&lt;=F2),((B2*(1+C2)+D2)/12),0)*G2</f>
        <v>0</v>
      </c>
      <c r="G15" s="3">
        <f>IF(AND(G14&gt;=E2,G14&lt;=F2),((B2*(1+C2)+D2)/12),0)*G2</f>
        <v>0</v>
      </c>
      <c r="H15" s="3">
        <f>IF(AND(H14&gt;=E2,H14&lt;=F2),((B2*(1+C2)+D2)/12),0)*G2</f>
        <v>0</v>
      </c>
      <c r="I15" s="3">
        <f>IF(AND(I14&gt;=E2,I14&lt;=F2),((B2*(1+C2)+D2)/12),0)*G2</f>
        <v>0</v>
      </c>
      <c r="J15" s="3">
        <f>IF(AND(J14&gt;=E2,J14&lt;=F2),((B2*(1+C2)+D2)/12),0)*G2</f>
        <v>0</v>
      </c>
      <c r="K15" s="3">
        <f>IF(AND(K14&gt;=E2,K14&lt;=F2),((B2*(1+C2)+D2)/12),0)*G2</f>
        <v>0</v>
      </c>
      <c r="L15" s="3">
        <f>IF(AND(L14&gt;=E2,L14&lt;=F2),((B2*(1+C2)+D2)/12),0)*G2</f>
        <v>0</v>
      </c>
      <c r="M15" s="3">
        <f>IF(AND(M14&gt;=E2,M14&lt;=F2),((B2*(1+C2)+D2)/12),0)*G2</f>
        <v>0</v>
      </c>
      <c r="N15" s="3">
        <f>IF(AND(N14&gt;=E2,N14&lt;=F2),((B2*(1+C2)+D2)/12),0)*G2</f>
        <v>0</v>
      </c>
      <c r="O15" s="3">
        <f>IF(AND(O14&gt;=E2,O14&lt;=F2),((B2*(1+C2)+D2)/12),0)*G2</f>
        <v>0</v>
      </c>
      <c r="P15" s="3">
        <f>IF(AND(P14&gt;=E2,P14&lt;=F2),((B2*(1+C2)+D2)/12),0)*G2</f>
        <v>0</v>
      </c>
      <c r="Q15" s="3">
        <f>IF(AND(Q14&gt;=E2,Q14&lt;=F2),((B2*(1+C2)+D2)/12),0)*G2</f>
        <v>0</v>
      </c>
      <c r="R15" s="3">
        <f>IF(AND(R14&gt;=E2,R14&lt;=F2),((B2*(1+C2)+D2)/12),0)*G2</f>
        <v>0</v>
      </c>
      <c r="S15" s="3">
        <f>IF(AND(S14&gt;=E2,S14&lt;=F2),((B2*(1+C2)+D2)/12),0)*G2</f>
        <v>0</v>
      </c>
      <c r="T15" s="3">
        <f>IF(AND(T14&gt;=E2,T14&lt;=F2),((B2*(1+C2)+D2)/12),0)*G2</f>
        <v>0</v>
      </c>
      <c r="U15" s="3">
        <f>IF(AND(U14&gt;=E2,U14&lt;=F2),((B2*(1+C2)+D2)/12),0)*G2</f>
        <v>0</v>
      </c>
      <c r="V15" s="3">
        <f>IF(AND(V14&gt;=E2,V14&lt;=F2),((B2*(1+C2)+D2)/12),0)*G2</f>
        <v>0</v>
      </c>
      <c r="W15" s="3">
        <f>IF(AND(W14&gt;=E2,W14&lt;=F2),((B2*(1+C2)+D2)/12),0)*G2</f>
        <v>0</v>
      </c>
      <c r="X15" s="3">
        <f>IF(AND(X14&gt;=E2,X14&lt;=F2),((B2*(1+C2)+D2)/12),0)*G2</f>
        <v>0</v>
      </c>
      <c r="Y15" s="3">
        <f>IF(AND(Y14&gt;=E2,Y14&lt;=F2),((B2*(1+C2)+D2)/12),0)*G2</f>
        <v>0</v>
      </c>
      <c r="Z15" s="3">
        <f>IF(AND(Z14&gt;=E2,Z14&lt;=F2),((B2*(1+C2)+D2)/12),0)*G2</f>
        <v>0</v>
      </c>
      <c r="AA15" s="3">
        <f>IF(AND(AA14&gt;=E2,AA14&lt;=F2),((B2*(1+C2)+D2)/12),0)*G2</f>
        <v>0</v>
      </c>
      <c r="AB15" s="3">
        <f>IF(AND(AB14&gt;=E2,AB14&lt;=F2),((B2*(1+C2)+D2)/12),0)*G2</f>
        <v>0</v>
      </c>
      <c r="AC15" s="3">
        <f>IF(AND(AC14&gt;=E2,AC14&lt;=F2),((B2*(1+C2)+D2)/12),0)*G2</f>
        <v>0</v>
      </c>
      <c r="AD15" s="3">
        <f>IF(AND(AD14&gt;=E2,AD14&lt;=F2),((B2*(1+C2)+D2)/12),0)*G2</f>
        <v>0</v>
      </c>
      <c r="AE15" s="3">
        <f>IF(AND(AE14&gt;=E2,AE14&lt;=F2),((B2*(1+C2)+D2)/12),0)*G2</f>
        <v>0</v>
      </c>
      <c r="AF15" s="3">
        <f>IF(AND(AF14&gt;=E2,AF14&lt;=F2),((B2*(1+C2)+D2)/12),0)*G2</f>
        <v>0</v>
      </c>
      <c r="AG15" s="3">
        <f>IF(AND(AG14&gt;=E2,AG14&lt;=F2),((B2*(1+C2)+D2)/12),0)*G2</f>
        <v>0</v>
      </c>
      <c r="AH15" s="3">
        <f>IF(AND(AH14&gt;=E2,AH14&lt;=F2),((B2*(1+C2)+D2)/12),0)*G2</f>
        <v>0</v>
      </c>
      <c r="AI15" s="3">
        <f>IF(AND(AI14&gt;=E2,AI14&lt;=F2),((B2*(1+C2)+D2)/12),0)*G2</f>
        <v>0</v>
      </c>
      <c r="AJ15" s="3">
        <f>IF(AND(AJ14&gt;=E2,AJ14&lt;=F2),((B2*(1+C2)+D2)/12),0)*G2</f>
        <v>0</v>
      </c>
      <c r="AK15" s="3">
        <f>IF(AND(AK$14&gt;=$E$2,AK$14&lt;=$F$2),(($B$2*(1+$C$2)+$D$2)/12),0)*$G$2</f>
        <v>0</v>
      </c>
      <c r="AL15" s="3">
        <f t="shared" ref="AL15:BI15" si="0">IF(AND(AL$14&gt;=$E$2,AL$14&lt;=$F$2),(($B$2*(1+$C$2)+$D$2)/12),0)*$G$2</f>
        <v>0</v>
      </c>
      <c r="AM15" s="3">
        <f t="shared" si="0"/>
        <v>0</v>
      </c>
      <c r="AN15" s="3">
        <f t="shared" si="0"/>
        <v>0</v>
      </c>
      <c r="AO15" s="3">
        <f t="shared" si="0"/>
        <v>0</v>
      </c>
      <c r="AP15" s="3">
        <f t="shared" si="0"/>
        <v>0</v>
      </c>
      <c r="AQ15" s="3">
        <f t="shared" si="0"/>
        <v>0</v>
      </c>
      <c r="AR15" s="3">
        <f t="shared" si="0"/>
        <v>0</v>
      </c>
      <c r="AS15" s="3">
        <f t="shared" si="0"/>
        <v>0</v>
      </c>
      <c r="AT15" s="3">
        <f t="shared" si="0"/>
        <v>0</v>
      </c>
      <c r="AU15" s="3">
        <f t="shared" si="0"/>
        <v>0</v>
      </c>
      <c r="AV15" s="3">
        <f t="shared" si="0"/>
        <v>0</v>
      </c>
      <c r="AW15" s="3">
        <f t="shared" si="0"/>
        <v>0</v>
      </c>
      <c r="AX15" s="3">
        <f t="shared" si="0"/>
        <v>0</v>
      </c>
      <c r="AY15" s="3">
        <f t="shared" si="0"/>
        <v>0</v>
      </c>
      <c r="AZ15" s="3">
        <f t="shared" si="0"/>
        <v>0</v>
      </c>
      <c r="BA15" s="3">
        <f t="shared" si="0"/>
        <v>0</v>
      </c>
      <c r="BB15" s="3">
        <f t="shared" si="0"/>
        <v>0</v>
      </c>
      <c r="BC15" s="3">
        <f t="shared" si="0"/>
        <v>0</v>
      </c>
      <c r="BD15" s="3">
        <f t="shared" si="0"/>
        <v>0</v>
      </c>
      <c r="BE15" s="3">
        <f t="shared" si="0"/>
        <v>0</v>
      </c>
      <c r="BF15" s="3">
        <f t="shared" si="0"/>
        <v>0</v>
      </c>
      <c r="BG15" s="3">
        <f t="shared" si="0"/>
        <v>0</v>
      </c>
      <c r="BH15" s="3">
        <f t="shared" si="0"/>
        <v>0</v>
      </c>
      <c r="BI15" s="3">
        <f t="shared" si="0"/>
        <v>0</v>
      </c>
    </row>
    <row r="16" spans="1:61" x14ac:dyDescent="0.25">
      <c r="A16" t="str">
        <f t="shared" ref="A16:A23" si="1">A3</f>
        <v>CEO / Design</v>
      </c>
      <c r="B16" s="3">
        <f>IF(AND(B$14&gt;=$E$3,B$14&lt;=$F$3),(($B$3*(1+$C$3)+$D$3)/12),0)*$G$3</f>
        <v>15241.666666666666</v>
      </c>
      <c r="C16" s="3">
        <f t="shared" ref="C16:BI16" si="2">IF(AND(C$14&gt;=$E$3,C$14&lt;=$F$3),(($B$3*(1+$C$3)+$D$3)/12),0)*$G$3</f>
        <v>15241.666666666666</v>
      </c>
      <c r="D16" s="3">
        <f t="shared" si="2"/>
        <v>15241.666666666666</v>
      </c>
      <c r="E16" s="3">
        <f t="shared" si="2"/>
        <v>15241.666666666666</v>
      </c>
      <c r="F16" s="3">
        <f t="shared" si="2"/>
        <v>15241.666666666666</v>
      </c>
      <c r="G16" s="3">
        <f t="shared" si="2"/>
        <v>15241.666666666666</v>
      </c>
      <c r="H16" s="3">
        <f t="shared" si="2"/>
        <v>15241.666666666666</v>
      </c>
      <c r="I16" s="3">
        <f t="shared" si="2"/>
        <v>15241.666666666666</v>
      </c>
      <c r="J16" s="3">
        <f t="shared" si="2"/>
        <v>15241.666666666666</v>
      </c>
      <c r="K16" s="3">
        <f t="shared" si="2"/>
        <v>15241.666666666666</v>
      </c>
      <c r="L16" s="3">
        <f t="shared" si="2"/>
        <v>15241.666666666666</v>
      </c>
      <c r="M16" s="3">
        <f t="shared" si="2"/>
        <v>15241.666666666666</v>
      </c>
      <c r="N16" s="3">
        <f t="shared" si="2"/>
        <v>15241.666666666666</v>
      </c>
      <c r="O16" s="3">
        <f t="shared" si="2"/>
        <v>15241.666666666666</v>
      </c>
      <c r="P16" s="3">
        <f t="shared" si="2"/>
        <v>15241.666666666666</v>
      </c>
      <c r="Q16" s="3">
        <f t="shared" si="2"/>
        <v>15241.666666666666</v>
      </c>
      <c r="R16" s="3">
        <f t="shared" si="2"/>
        <v>15241.666666666666</v>
      </c>
      <c r="S16" s="3">
        <f t="shared" si="2"/>
        <v>15241.666666666666</v>
      </c>
      <c r="T16" s="3">
        <f t="shared" si="2"/>
        <v>15241.666666666666</v>
      </c>
      <c r="U16" s="3">
        <f t="shared" si="2"/>
        <v>15241.666666666666</v>
      </c>
      <c r="V16" s="3">
        <f t="shared" si="2"/>
        <v>15241.666666666666</v>
      </c>
      <c r="W16" s="3">
        <f t="shared" si="2"/>
        <v>15241.666666666666</v>
      </c>
      <c r="X16" s="3">
        <f t="shared" si="2"/>
        <v>15241.666666666666</v>
      </c>
      <c r="Y16" s="3">
        <f t="shared" si="2"/>
        <v>15241.666666666666</v>
      </c>
      <c r="Z16" s="3">
        <f t="shared" si="2"/>
        <v>15241.666666666666</v>
      </c>
      <c r="AA16" s="3">
        <f t="shared" si="2"/>
        <v>15241.666666666666</v>
      </c>
      <c r="AB16" s="3">
        <f t="shared" si="2"/>
        <v>15241.666666666666</v>
      </c>
      <c r="AC16" s="3">
        <f t="shared" si="2"/>
        <v>15241.666666666666</v>
      </c>
      <c r="AD16" s="3">
        <f t="shared" si="2"/>
        <v>15241.666666666666</v>
      </c>
      <c r="AE16" s="3">
        <f t="shared" si="2"/>
        <v>15241.666666666666</v>
      </c>
      <c r="AF16" s="3">
        <f t="shared" si="2"/>
        <v>15241.666666666666</v>
      </c>
      <c r="AG16" s="3">
        <f t="shared" si="2"/>
        <v>15241.666666666666</v>
      </c>
      <c r="AH16" s="3">
        <f t="shared" si="2"/>
        <v>15241.666666666666</v>
      </c>
      <c r="AI16" s="3">
        <f t="shared" si="2"/>
        <v>15241.666666666666</v>
      </c>
      <c r="AJ16" s="3">
        <f t="shared" si="2"/>
        <v>15241.666666666666</v>
      </c>
      <c r="AK16" s="3">
        <f t="shared" si="2"/>
        <v>15241.666666666666</v>
      </c>
      <c r="AL16" s="3">
        <f t="shared" si="2"/>
        <v>15241.666666666666</v>
      </c>
      <c r="AM16" s="3">
        <f t="shared" si="2"/>
        <v>15241.666666666666</v>
      </c>
      <c r="AN16" s="3">
        <f t="shared" si="2"/>
        <v>15241.666666666666</v>
      </c>
      <c r="AO16" s="3">
        <f t="shared" si="2"/>
        <v>15241.666666666666</v>
      </c>
      <c r="AP16" s="3">
        <f t="shared" si="2"/>
        <v>15241.666666666666</v>
      </c>
      <c r="AQ16" s="3">
        <f t="shared" si="2"/>
        <v>15241.666666666666</v>
      </c>
      <c r="AR16" s="3">
        <f t="shared" si="2"/>
        <v>15241.666666666666</v>
      </c>
      <c r="AS16" s="3">
        <f t="shared" si="2"/>
        <v>15241.666666666666</v>
      </c>
      <c r="AT16" s="3">
        <f t="shared" si="2"/>
        <v>15241.666666666666</v>
      </c>
      <c r="AU16" s="3">
        <f t="shared" si="2"/>
        <v>15241.666666666666</v>
      </c>
      <c r="AV16" s="3">
        <f t="shared" si="2"/>
        <v>15241.666666666666</v>
      </c>
      <c r="AW16" s="3">
        <f t="shared" si="2"/>
        <v>15241.666666666666</v>
      </c>
      <c r="AX16" s="3">
        <f t="shared" si="2"/>
        <v>15241.666666666666</v>
      </c>
      <c r="AY16" s="3">
        <f t="shared" si="2"/>
        <v>15241.666666666666</v>
      </c>
      <c r="AZ16" s="3">
        <f t="shared" si="2"/>
        <v>15241.666666666666</v>
      </c>
      <c r="BA16" s="3">
        <f t="shared" si="2"/>
        <v>15241.666666666666</v>
      </c>
      <c r="BB16" s="3">
        <f t="shared" si="2"/>
        <v>15241.666666666666</v>
      </c>
      <c r="BC16" s="3">
        <f t="shared" si="2"/>
        <v>15241.666666666666</v>
      </c>
      <c r="BD16" s="3">
        <f t="shared" si="2"/>
        <v>15241.666666666666</v>
      </c>
      <c r="BE16" s="3">
        <f t="shared" si="2"/>
        <v>15241.666666666666</v>
      </c>
      <c r="BF16" s="3">
        <f t="shared" si="2"/>
        <v>15241.666666666666</v>
      </c>
      <c r="BG16" s="3">
        <f t="shared" si="2"/>
        <v>15241.666666666666</v>
      </c>
      <c r="BH16" s="3">
        <f t="shared" si="2"/>
        <v>15241.666666666666</v>
      </c>
      <c r="BI16" s="3">
        <f t="shared" si="2"/>
        <v>15241.666666666666</v>
      </c>
    </row>
    <row r="17" spans="1:61" x14ac:dyDescent="0.25">
      <c r="A17" t="str">
        <f t="shared" si="1"/>
        <v>VP Engineering</v>
      </c>
      <c r="B17" s="3">
        <f>IF(AND(B$14&gt;=$E$4,B$14&lt;=$F$4),(($B$4*(1+$C$4)+$D$4)/12),0)*$G$4</f>
        <v>15241.666666666666</v>
      </c>
      <c r="C17" s="3">
        <f t="shared" ref="C17:BI17" si="3">IF(AND(C$14&gt;=$E$4,C$14&lt;=$F$4),(($B$4*(1+$C$4)+$D$4)/12),0)*$G$4</f>
        <v>15241.666666666666</v>
      </c>
      <c r="D17" s="3">
        <f t="shared" si="3"/>
        <v>15241.666666666666</v>
      </c>
      <c r="E17" s="3">
        <f t="shared" si="3"/>
        <v>15241.666666666666</v>
      </c>
      <c r="F17" s="3">
        <f t="shared" si="3"/>
        <v>15241.666666666666</v>
      </c>
      <c r="G17" s="3">
        <f t="shared" si="3"/>
        <v>15241.666666666666</v>
      </c>
      <c r="H17" s="3">
        <f t="shared" si="3"/>
        <v>15241.666666666666</v>
      </c>
      <c r="I17" s="3">
        <f t="shared" si="3"/>
        <v>15241.666666666666</v>
      </c>
      <c r="J17" s="3">
        <f t="shared" si="3"/>
        <v>15241.666666666666</v>
      </c>
      <c r="K17" s="3">
        <f t="shared" si="3"/>
        <v>15241.666666666666</v>
      </c>
      <c r="L17" s="3">
        <f t="shared" si="3"/>
        <v>15241.666666666666</v>
      </c>
      <c r="M17" s="3">
        <f t="shared" si="3"/>
        <v>15241.666666666666</v>
      </c>
      <c r="N17" s="3">
        <f t="shared" si="3"/>
        <v>15241.666666666666</v>
      </c>
      <c r="O17" s="3">
        <f t="shared" si="3"/>
        <v>15241.666666666666</v>
      </c>
      <c r="P17" s="3">
        <f t="shared" si="3"/>
        <v>15241.666666666666</v>
      </c>
      <c r="Q17" s="3">
        <f t="shared" si="3"/>
        <v>15241.666666666666</v>
      </c>
      <c r="R17" s="3">
        <f t="shared" si="3"/>
        <v>15241.666666666666</v>
      </c>
      <c r="S17" s="3">
        <f t="shared" si="3"/>
        <v>15241.666666666666</v>
      </c>
      <c r="T17" s="3">
        <f t="shared" si="3"/>
        <v>15241.666666666666</v>
      </c>
      <c r="U17" s="3">
        <f t="shared" si="3"/>
        <v>15241.666666666666</v>
      </c>
      <c r="V17" s="3">
        <f t="shared" si="3"/>
        <v>15241.666666666666</v>
      </c>
      <c r="W17" s="3">
        <f t="shared" si="3"/>
        <v>15241.666666666666</v>
      </c>
      <c r="X17" s="3">
        <f t="shared" si="3"/>
        <v>15241.666666666666</v>
      </c>
      <c r="Y17" s="3">
        <f t="shared" si="3"/>
        <v>15241.666666666666</v>
      </c>
      <c r="Z17" s="3">
        <f t="shared" si="3"/>
        <v>15241.666666666666</v>
      </c>
      <c r="AA17" s="3">
        <f t="shared" si="3"/>
        <v>15241.666666666666</v>
      </c>
      <c r="AB17" s="3">
        <f t="shared" si="3"/>
        <v>15241.666666666666</v>
      </c>
      <c r="AC17" s="3">
        <f t="shared" si="3"/>
        <v>15241.666666666666</v>
      </c>
      <c r="AD17" s="3">
        <f t="shared" si="3"/>
        <v>15241.666666666666</v>
      </c>
      <c r="AE17" s="3">
        <f t="shared" si="3"/>
        <v>15241.666666666666</v>
      </c>
      <c r="AF17" s="3">
        <f t="shared" si="3"/>
        <v>15241.666666666666</v>
      </c>
      <c r="AG17" s="3">
        <f t="shared" si="3"/>
        <v>15241.666666666666</v>
      </c>
      <c r="AH17" s="3">
        <f t="shared" si="3"/>
        <v>15241.666666666666</v>
      </c>
      <c r="AI17" s="3">
        <f t="shared" si="3"/>
        <v>15241.666666666666</v>
      </c>
      <c r="AJ17" s="3">
        <f t="shared" si="3"/>
        <v>15241.666666666666</v>
      </c>
      <c r="AK17" s="3">
        <f t="shared" si="3"/>
        <v>15241.666666666666</v>
      </c>
      <c r="AL17" s="3">
        <f t="shared" si="3"/>
        <v>15241.666666666666</v>
      </c>
      <c r="AM17" s="3">
        <f t="shared" si="3"/>
        <v>15241.666666666666</v>
      </c>
      <c r="AN17" s="3">
        <f t="shared" si="3"/>
        <v>15241.666666666666</v>
      </c>
      <c r="AO17" s="3">
        <f t="shared" si="3"/>
        <v>15241.666666666666</v>
      </c>
      <c r="AP17" s="3">
        <f t="shared" si="3"/>
        <v>15241.666666666666</v>
      </c>
      <c r="AQ17" s="3">
        <f t="shared" si="3"/>
        <v>15241.666666666666</v>
      </c>
      <c r="AR17" s="3">
        <f t="shared" si="3"/>
        <v>15241.666666666666</v>
      </c>
      <c r="AS17" s="3">
        <f t="shared" si="3"/>
        <v>15241.666666666666</v>
      </c>
      <c r="AT17" s="3">
        <f t="shared" si="3"/>
        <v>15241.666666666666</v>
      </c>
      <c r="AU17" s="3">
        <f t="shared" si="3"/>
        <v>15241.666666666666</v>
      </c>
      <c r="AV17" s="3">
        <f t="shared" si="3"/>
        <v>15241.666666666666</v>
      </c>
      <c r="AW17" s="3">
        <f t="shared" si="3"/>
        <v>15241.666666666666</v>
      </c>
      <c r="AX17" s="3">
        <f t="shared" si="3"/>
        <v>15241.666666666666</v>
      </c>
      <c r="AY17" s="3">
        <f t="shared" si="3"/>
        <v>15241.666666666666</v>
      </c>
      <c r="AZ17" s="3">
        <f t="shared" si="3"/>
        <v>15241.666666666666</v>
      </c>
      <c r="BA17" s="3">
        <f t="shared" si="3"/>
        <v>15241.666666666666</v>
      </c>
      <c r="BB17" s="3">
        <f t="shared" si="3"/>
        <v>15241.666666666666</v>
      </c>
      <c r="BC17" s="3">
        <f t="shared" si="3"/>
        <v>15241.666666666666</v>
      </c>
      <c r="BD17" s="3">
        <f t="shared" si="3"/>
        <v>15241.666666666666</v>
      </c>
      <c r="BE17" s="3">
        <f t="shared" si="3"/>
        <v>15241.666666666666</v>
      </c>
      <c r="BF17" s="3">
        <f t="shared" si="3"/>
        <v>15241.666666666666</v>
      </c>
      <c r="BG17" s="3">
        <f t="shared" si="3"/>
        <v>15241.666666666666</v>
      </c>
      <c r="BH17" s="3">
        <f t="shared" si="3"/>
        <v>15241.666666666666</v>
      </c>
      <c r="BI17" s="3">
        <f t="shared" si="3"/>
        <v>15241.666666666666</v>
      </c>
    </row>
    <row r="18" spans="1:61" x14ac:dyDescent="0.25">
      <c r="A18" t="str">
        <f t="shared" si="1"/>
        <v>CTO</v>
      </c>
      <c r="B18" s="3">
        <f>IF(AND(B$14&gt;=$E$5,B$14&lt;=$F$5),(($B$5*(1+$C$5)+$D$5)/12),0)*$G$5</f>
        <v>15683.333333333334</v>
      </c>
      <c r="C18" s="3">
        <f t="shared" ref="C18:BI18" si="4">IF(AND(C$14&gt;=$E$5,C$14&lt;=$F$5),(($B$5*(1+$C$5)+$D$5)/12),0)*$G$5</f>
        <v>15683.333333333334</v>
      </c>
      <c r="D18" s="3">
        <f t="shared" si="4"/>
        <v>15683.333333333334</v>
      </c>
      <c r="E18" s="3">
        <f t="shared" si="4"/>
        <v>15683.333333333334</v>
      </c>
      <c r="F18" s="3">
        <f t="shared" si="4"/>
        <v>15683.333333333334</v>
      </c>
      <c r="G18" s="3">
        <f t="shared" si="4"/>
        <v>15683.333333333334</v>
      </c>
      <c r="H18" s="3">
        <f t="shared" si="4"/>
        <v>15683.333333333334</v>
      </c>
      <c r="I18" s="3">
        <f t="shared" si="4"/>
        <v>15683.333333333334</v>
      </c>
      <c r="J18" s="3">
        <f t="shared" si="4"/>
        <v>15683.333333333334</v>
      </c>
      <c r="K18" s="3">
        <f t="shared" si="4"/>
        <v>15683.333333333334</v>
      </c>
      <c r="L18" s="3">
        <f t="shared" si="4"/>
        <v>15683.333333333334</v>
      </c>
      <c r="M18" s="3">
        <f t="shared" si="4"/>
        <v>15683.333333333334</v>
      </c>
      <c r="N18" s="3">
        <f t="shared" si="4"/>
        <v>15683.333333333334</v>
      </c>
      <c r="O18" s="3">
        <f t="shared" si="4"/>
        <v>15683.333333333334</v>
      </c>
      <c r="P18" s="3">
        <f t="shared" si="4"/>
        <v>15683.333333333334</v>
      </c>
      <c r="Q18" s="3">
        <f t="shared" si="4"/>
        <v>15683.333333333334</v>
      </c>
      <c r="R18" s="3">
        <f t="shared" si="4"/>
        <v>15683.333333333334</v>
      </c>
      <c r="S18" s="3">
        <f t="shared" si="4"/>
        <v>15683.333333333334</v>
      </c>
      <c r="T18" s="3">
        <f t="shared" si="4"/>
        <v>15683.333333333334</v>
      </c>
      <c r="U18" s="3">
        <f t="shared" si="4"/>
        <v>15683.333333333334</v>
      </c>
      <c r="V18" s="3">
        <f t="shared" si="4"/>
        <v>15683.333333333334</v>
      </c>
      <c r="W18" s="3">
        <f t="shared" si="4"/>
        <v>15683.333333333334</v>
      </c>
      <c r="X18" s="3">
        <f t="shared" si="4"/>
        <v>15683.333333333334</v>
      </c>
      <c r="Y18" s="3">
        <f t="shared" si="4"/>
        <v>15683.333333333334</v>
      </c>
      <c r="Z18" s="3">
        <f t="shared" si="4"/>
        <v>15683.333333333334</v>
      </c>
      <c r="AA18" s="3">
        <f t="shared" si="4"/>
        <v>15683.333333333334</v>
      </c>
      <c r="AB18" s="3">
        <f t="shared" si="4"/>
        <v>15683.333333333334</v>
      </c>
      <c r="AC18" s="3">
        <f t="shared" si="4"/>
        <v>15683.333333333334</v>
      </c>
      <c r="AD18" s="3">
        <f t="shared" si="4"/>
        <v>15683.333333333334</v>
      </c>
      <c r="AE18" s="3">
        <f t="shared" si="4"/>
        <v>15683.333333333334</v>
      </c>
      <c r="AF18" s="3">
        <f t="shared" si="4"/>
        <v>15683.333333333334</v>
      </c>
      <c r="AG18" s="3">
        <f t="shared" si="4"/>
        <v>15683.333333333334</v>
      </c>
      <c r="AH18" s="3">
        <f t="shared" si="4"/>
        <v>15683.333333333334</v>
      </c>
      <c r="AI18" s="3">
        <f t="shared" si="4"/>
        <v>15683.333333333334</v>
      </c>
      <c r="AJ18" s="3">
        <f t="shared" si="4"/>
        <v>15683.333333333334</v>
      </c>
      <c r="AK18" s="3">
        <f t="shared" si="4"/>
        <v>15683.333333333334</v>
      </c>
      <c r="AL18" s="3">
        <f t="shared" si="4"/>
        <v>15683.333333333334</v>
      </c>
      <c r="AM18" s="3">
        <f t="shared" si="4"/>
        <v>15683.333333333334</v>
      </c>
      <c r="AN18" s="3">
        <f t="shared" si="4"/>
        <v>15683.333333333334</v>
      </c>
      <c r="AO18" s="3">
        <f t="shared" si="4"/>
        <v>15683.333333333334</v>
      </c>
      <c r="AP18" s="3">
        <f t="shared" si="4"/>
        <v>15683.333333333334</v>
      </c>
      <c r="AQ18" s="3">
        <f t="shared" si="4"/>
        <v>15683.333333333334</v>
      </c>
      <c r="AR18" s="3">
        <f t="shared" si="4"/>
        <v>15683.333333333334</v>
      </c>
      <c r="AS18" s="3">
        <f t="shared" si="4"/>
        <v>15683.333333333334</v>
      </c>
      <c r="AT18" s="3">
        <f t="shared" si="4"/>
        <v>15683.333333333334</v>
      </c>
      <c r="AU18" s="3">
        <f t="shared" si="4"/>
        <v>15683.333333333334</v>
      </c>
      <c r="AV18" s="3">
        <f t="shared" si="4"/>
        <v>15683.333333333334</v>
      </c>
      <c r="AW18" s="3">
        <f t="shared" si="4"/>
        <v>15683.333333333334</v>
      </c>
      <c r="AX18" s="3">
        <f t="shared" si="4"/>
        <v>15683.333333333334</v>
      </c>
      <c r="AY18" s="3">
        <f t="shared" si="4"/>
        <v>15683.333333333334</v>
      </c>
      <c r="AZ18" s="3">
        <f t="shared" si="4"/>
        <v>15683.333333333334</v>
      </c>
      <c r="BA18" s="3">
        <f t="shared" si="4"/>
        <v>15683.333333333334</v>
      </c>
      <c r="BB18" s="3">
        <f t="shared" si="4"/>
        <v>15683.333333333334</v>
      </c>
      <c r="BC18" s="3">
        <f t="shared" si="4"/>
        <v>15683.333333333334</v>
      </c>
      <c r="BD18" s="3">
        <f t="shared" si="4"/>
        <v>15683.333333333334</v>
      </c>
      <c r="BE18" s="3">
        <f t="shared" si="4"/>
        <v>15683.333333333334</v>
      </c>
      <c r="BF18" s="3">
        <f t="shared" si="4"/>
        <v>15683.333333333334</v>
      </c>
      <c r="BG18" s="3">
        <f t="shared" si="4"/>
        <v>15683.333333333334</v>
      </c>
      <c r="BH18" s="3">
        <f t="shared" si="4"/>
        <v>15683.333333333334</v>
      </c>
      <c r="BI18" s="3">
        <f t="shared" si="4"/>
        <v>15683.333333333334</v>
      </c>
    </row>
    <row r="19" spans="1:61" x14ac:dyDescent="0.25">
      <c r="A19" t="str">
        <f t="shared" si="1"/>
        <v>Supply Chain Engineer</v>
      </c>
      <c r="B19" s="3">
        <f>IF(AND(B$14&gt;=$E$6,B$14&lt;=$F$6),(($B$6*(1+$C$6)+$D$6)/12),0)*$G$6</f>
        <v>0</v>
      </c>
      <c r="C19" s="3">
        <f t="shared" ref="C19:BI19" si="5">IF(AND(C$14&gt;=$E$6,C$14&lt;=$F$6),(($B$6*(1+$C$6)+$D$6)/12),0)*$G$6</f>
        <v>11800</v>
      </c>
      <c r="D19" s="3">
        <f t="shared" si="5"/>
        <v>11800</v>
      </c>
      <c r="E19" s="3">
        <f t="shared" si="5"/>
        <v>11800</v>
      </c>
      <c r="F19" s="3">
        <f t="shared" si="5"/>
        <v>11800</v>
      </c>
      <c r="G19" s="3">
        <f t="shared" si="5"/>
        <v>11800</v>
      </c>
      <c r="H19" s="3">
        <f t="shared" si="5"/>
        <v>11800</v>
      </c>
      <c r="I19" s="3">
        <f t="shared" si="5"/>
        <v>11800</v>
      </c>
      <c r="J19" s="3">
        <f t="shared" si="5"/>
        <v>11800</v>
      </c>
      <c r="K19" s="3">
        <f t="shared" si="5"/>
        <v>11800</v>
      </c>
      <c r="L19" s="3">
        <f t="shared" si="5"/>
        <v>11800</v>
      </c>
      <c r="M19" s="3">
        <f t="shared" si="5"/>
        <v>11800</v>
      </c>
      <c r="N19" s="3">
        <f t="shared" si="5"/>
        <v>11800</v>
      </c>
      <c r="O19" s="3">
        <f t="shared" si="5"/>
        <v>11800</v>
      </c>
      <c r="P19" s="3">
        <f t="shared" si="5"/>
        <v>11800</v>
      </c>
      <c r="Q19" s="3">
        <f t="shared" si="5"/>
        <v>11800</v>
      </c>
      <c r="R19" s="3">
        <f t="shared" si="5"/>
        <v>11800</v>
      </c>
      <c r="S19" s="3">
        <f t="shared" si="5"/>
        <v>11800</v>
      </c>
      <c r="T19" s="3">
        <f t="shared" si="5"/>
        <v>11800</v>
      </c>
      <c r="U19" s="3">
        <f t="shared" si="5"/>
        <v>11800</v>
      </c>
      <c r="V19" s="3">
        <f t="shared" si="5"/>
        <v>11800</v>
      </c>
      <c r="W19" s="3">
        <f t="shared" si="5"/>
        <v>11800</v>
      </c>
      <c r="X19" s="3">
        <f t="shared" si="5"/>
        <v>11800</v>
      </c>
      <c r="Y19" s="3">
        <f t="shared" si="5"/>
        <v>11800</v>
      </c>
      <c r="Z19" s="3">
        <f t="shared" si="5"/>
        <v>11800</v>
      </c>
      <c r="AA19" s="3">
        <f t="shared" si="5"/>
        <v>11800</v>
      </c>
      <c r="AB19" s="3">
        <f t="shared" si="5"/>
        <v>11800</v>
      </c>
      <c r="AC19" s="3">
        <f t="shared" si="5"/>
        <v>11800</v>
      </c>
      <c r="AD19" s="3">
        <f t="shared" si="5"/>
        <v>11800</v>
      </c>
      <c r="AE19" s="3">
        <f t="shared" si="5"/>
        <v>11800</v>
      </c>
      <c r="AF19" s="3">
        <f t="shared" si="5"/>
        <v>11800</v>
      </c>
      <c r="AG19" s="3">
        <f t="shared" si="5"/>
        <v>11800</v>
      </c>
      <c r="AH19" s="3">
        <f t="shared" si="5"/>
        <v>11800</v>
      </c>
      <c r="AI19" s="3">
        <f t="shared" si="5"/>
        <v>11800</v>
      </c>
      <c r="AJ19" s="3">
        <f t="shared" si="5"/>
        <v>11800</v>
      </c>
      <c r="AK19" s="3">
        <f t="shared" si="5"/>
        <v>11800</v>
      </c>
      <c r="AL19" s="3">
        <f t="shared" si="5"/>
        <v>11800</v>
      </c>
      <c r="AM19" s="3">
        <f t="shared" si="5"/>
        <v>11800</v>
      </c>
      <c r="AN19" s="3">
        <f t="shared" si="5"/>
        <v>11800</v>
      </c>
      <c r="AO19" s="3">
        <f t="shared" si="5"/>
        <v>11800</v>
      </c>
      <c r="AP19" s="3">
        <f t="shared" si="5"/>
        <v>11800</v>
      </c>
      <c r="AQ19" s="3">
        <f t="shared" si="5"/>
        <v>11800</v>
      </c>
      <c r="AR19" s="3">
        <f t="shared" si="5"/>
        <v>11800</v>
      </c>
      <c r="AS19" s="3">
        <f t="shared" si="5"/>
        <v>11800</v>
      </c>
      <c r="AT19" s="3">
        <f t="shared" si="5"/>
        <v>11800</v>
      </c>
      <c r="AU19" s="3">
        <f t="shared" si="5"/>
        <v>11800</v>
      </c>
      <c r="AV19" s="3">
        <f t="shared" si="5"/>
        <v>11800</v>
      </c>
      <c r="AW19" s="3">
        <f t="shared" si="5"/>
        <v>11800</v>
      </c>
      <c r="AX19" s="3">
        <f t="shared" si="5"/>
        <v>11800</v>
      </c>
      <c r="AY19" s="3">
        <f t="shared" si="5"/>
        <v>11800</v>
      </c>
      <c r="AZ19" s="3">
        <f t="shared" si="5"/>
        <v>11800</v>
      </c>
      <c r="BA19" s="3">
        <f t="shared" si="5"/>
        <v>11800</v>
      </c>
      <c r="BB19" s="3">
        <f t="shared" si="5"/>
        <v>11800</v>
      </c>
      <c r="BC19" s="3">
        <f t="shared" si="5"/>
        <v>11800</v>
      </c>
      <c r="BD19" s="3">
        <f t="shared" si="5"/>
        <v>11800</v>
      </c>
      <c r="BE19" s="3">
        <f t="shared" si="5"/>
        <v>11800</v>
      </c>
      <c r="BF19" s="3">
        <f t="shared" si="5"/>
        <v>11800</v>
      </c>
      <c r="BG19" s="3">
        <f t="shared" si="5"/>
        <v>11800</v>
      </c>
      <c r="BH19" s="3">
        <f t="shared" si="5"/>
        <v>11800</v>
      </c>
      <c r="BI19" s="3">
        <f t="shared" si="5"/>
        <v>11800</v>
      </c>
    </row>
    <row r="20" spans="1:61" x14ac:dyDescent="0.25">
      <c r="A20" t="str">
        <f t="shared" si="1"/>
        <v>Marketing Lead</v>
      </c>
      <c r="B20" s="3">
        <f>IF(AND(B$14&gt;=$E$7,B$14&lt;=$F$7),(($B$7*(1+$C$7)+$D$7)/12),0)*$G$7</f>
        <v>0</v>
      </c>
      <c r="C20" s="3">
        <f t="shared" ref="C20:BI20" si="6">IF(AND(C$14&gt;=$E$7,C$14&lt;=$F$7),(($B$7*(1+$C$7)+$D$7)/12),0)*$G$7</f>
        <v>0</v>
      </c>
      <c r="D20" s="3">
        <f t="shared" si="6"/>
        <v>10900.000000000002</v>
      </c>
      <c r="E20" s="3">
        <f t="shared" si="6"/>
        <v>10900.000000000002</v>
      </c>
      <c r="F20" s="3">
        <f t="shared" si="6"/>
        <v>10900.000000000002</v>
      </c>
      <c r="G20" s="3">
        <f t="shared" si="6"/>
        <v>10900.000000000002</v>
      </c>
      <c r="H20" s="3">
        <f t="shared" si="6"/>
        <v>10900.000000000002</v>
      </c>
      <c r="I20" s="3">
        <f t="shared" si="6"/>
        <v>10900.000000000002</v>
      </c>
      <c r="J20" s="3">
        <f t="shared" si="6"/>
        <v>10900.000000000002</v>
      </c>
      <c r="K20" s="3">
        <f t="shared" si="6"/>
        <v>10900.000000000002</v>
      </c>
      <c r="L20" s="3">
        <f t="shared" si="6"/>
        <v>10900.000000000002</v>
      </c>
      <c r="M20" s="3">
        <f t="shared" si="6"/>
        <v>10900.000000000002</v>
      </c>
      <c r="N20" s="3">
        <f t="shared" si="6"/>
        <v>10900.000000000002</v>
      </c>
      <c r="O20" s="3">
        <f t="shared" si="6"/>
        <v>10900.000000000002</v>
      </c>
      <c r="P20" s="3">
        <f t="shared" si="6"/>
        <v>10900.000000000002</v>
      </c>
      <c r="Q20" s="3">
        <f t="shared" si="6"/>
        <v>10900.000000000002</v>
      </c>
      <c r="R20" s="3">
        <f t="shared" si="6"/>
        <v>10900.000000000002</v>
      </c>
      <c r="S20" s="3">
        <f t="shared" si="6"/>
        <v>10900.000000000002</v>
      </c>
      <c r="T20" s="3">
        <f t="shared" si="6"/>
        <v>10900.000000000002</v>
      </c>
      <c r="U20" s="3">
        <f t="shared" si="6"/>
        <v>10900.000000000002</v>
      </c>
      <c r="V20" s="3">
        <f t="shared" si="6"/>
        <v>10900.000000000002</v>
      </c>
      <c r="W20" s="3">
        <f t="shared" si="6"/>
        <v>10900.000000000002</v>
      </c>
      <c r="X20" s="3">
        <f t="shared" si="6"/>
        <v>10900.000000000002</v>
      </c>
      <c r="Y20" s="3">
        <f t="shared" si="6"/>
        <v>10900.000000000002</v>
      </c>
      <c r="Z20" s="3">
        <f t="shared" si="6"/>
        <v>10900.000000000002</v>
      </c>
      <c r="AA20" s="3">
        <f t="shared" si="6"/>
        <v>10900.000000000002</v>
      </c>
      <c r="AB20" s="3">
        <f t="shared" si="6"/>
        <v>10900.000000000002</v>
      </c>
      <c r="AC20" s="3">
        <f t="shared" si="6"/>
        <v>10900.000000000002</v>
      </c>
      <c r="AD20" s="3">
        <f t="shared" si="6"/>
        <v>10900.000000000002</v>
      </c>
      <c r="AE20" s="3">
        <f t="shared" si="6"/>
        <v>10900.000000000002</v>
      </c>
      <c r="AF20" s="3">
        <f t="shared" si="6"/>
        <v>10900.000000000002</v>
      </c>
      <c r="AG20" s="3">
        <f t="shared" si="6"/>
        <v>10900.000000000002</v>
      </c>
      <c r="AH20" s="3">
        <f t="shared" si="6"/>
        <v>10900.000000000002</v>
      </c>
      <c r="AI20" s="3">
        <f t="shared" si="6"/>
        <v>10900.000000000002</v>
      </c>
      <c r="AJ20" s="3">
        <f t="shared" si="6"/>
        <v>10900.000000000002</v>
      </c>
      <c r="AK20" s="3">
        <f t="shared" si="6"/>
        <v>10900.000000000002</v>
      </c>
      <c r="AL20" s="3">
        <f t="shared" si="6"/>
        <v>10900.000000000002</v>
      </c>
      <c r="AM20" s="3">
        <f t="shared" si="6"/>
        <v>10900.000000000002</v>
      </c>
      <c r="AN20" s="3">
        <f t="shared" si="6"/>
        <v>10900.000000000002</v>
      </c>
      <c r="AO20" s="3">
        <f t="shared" si="6"/>
        <v>10900.000000000002</v>
      </c>
      <c r="AP20" s="3">
        <f t="shared" si="6"/>
        <v>10900.000000000002</v>
      </c>
      <c r="AQ20" s="3">
        <f t="shared" si="6"/>
        <v>10900.000000000002</v>
      </c>
      <c r="AR20" s="3">
        <f t="shared" si="6"/>
        <v>10900.000000000002</v>
      </c>
      <c r="AS20" s="3">
        <f t="shared" si="6"/>
        <v>10900.000000000002</v>
      </c>
      <c r="AT20" s="3">
        <f t="shared" si="6"/>
        <v>10900.000000000002</v>
      </c>
      <c r="AU20" s="3">
        <f t="shared" si="6"/>
        <v>10900.000000000002</v>
      </c>
      <c r="AV20" s="3">
        <f t="shared" si="6"/>
        <v>10900.000000000002</v>
      </c>
      <c r="AW20" s="3">
        <f t="shared" si="6"/>
        <v>10900.000000000002</v>
      </c>
      <c r="AX20" s="3">
        <f t="shared" si="6"/>
        <v>10900.000000000002</v>
      </c>
      <c r="AY20" s="3">
        <f t="shared" si="6"/>
        <v>10900.000000000002</v>
      </c>
      <c r="AZ20" s="3">
        <f t="shared" si="6"/>
        <v>10900.000000000002</v>
      </c>
      <c r="BA20" s="3">
        <f t="shared" si="6"/>
        <v>10900.000000000002</v>
      </c>
      <c r="BB20" s="3">
        <f t="shared" si="6"/>
        <v>10900.000000000002</v>
      </c>
      <c r="BC20" s="3">
        <f t="shared" si="6"/>
        <v>10900.000000000002</v>
      </c>
      <c r="BD20" s="3">
        <f t="shared" si="6"/>
        <v>10900.000000000002</v>
      </c>
      <c r="BE20" s="3">
        <f t="shared" si="6"/>
        <v>10900.000000000002</v>
      </c>
      <c r="BF20" s="3">
        <f t="shared" si="6"/>
        <v>10900.000000000002</v>
      </c>
      <c r="BG20" s="3">
        <f t="shared" si="6"/>
        <v>10900.000000000002</v>
      </c>
      <c r="BH20" s="3">
        <f t="shared" si="6"/>
        <v>10900.000000000002</v>
      </c>
      <c r="BI20" s="3">
        <f t="shared" si="6"/>
        <v>10900.000000000002</v>
      </c>
    </row>
    <row r="21" spans="1:61" x14ac:dyDescent="0.25">
      <c r="A21" t="str">
        <f t="shared" si="1"/>
        <v>Mechanical Engineer</v>
      </c>
      <c r="B21" s="3">
        <f>IF(AND(B$14&gt;=$E$8,B$14&lt;=$F$8),(($B$8*(1+$C$8)+$D$8)/12),0)*$G$8</f>
        <v>0</v>
      </c>
      <c r="C21" s="3">
        <f t="shared" ref="C21:BI21" si="7">IF(AND(C$14&gt;=$E$8,C$14&lt;=$F$8),(($B$8*(1+$C$8)+$D$8)/12),0)*$G$8</f>
        <v>0</v>
      </c>
      <c r="D21" s="3">
        <f t="shared" si="7"/>
        <v>11800</v>
      </c>
      <c r="E21" s="3">
        <f t="shared" si="7"/>
        <v>11800</v>
      </c>
      <c r="F21" s="3">
        <f t="shared" si="7"/>
        <v>11800</v>
      </c>
      <c r="G21" s="3">
        <f t="shared" si="7"/>
        <v>11800</v>
      </c>
      <c r="H21" s="3">
        <f t="shared" si="7"/>
        <v>11800</v>
      </c>
      <c r="I21" s="3">
        <f t="shared" si="7"/>
        <v>11800</v>
      </c>
      <c r="J21" s="3">
        <f t="shared" si="7"/>
        <v>11800</v>
      </c>
      <c r="K21" s="3">
        <f t="shared" si="7"/>
        <v>11800</v>
      </c>
      <c r="L21" s="3">
        <f t="shared" si="7"/>
        <v>11800</v>
      </c>
      <c r="M21" s="3">
        <f t="shared" si="7"/>
        <v>11800</v>
      </c>
      <c r="N21" s="3">
        <f t="shared" si="7"/>
        <v>11800</v>
      </c>
      <c r="O21" s="3">
        <f t="shared" si="7"/>
        <v>11800</v>
      </c>
      <c r="P21" s="3">
        <f t="shared" si="7"/>
        <v>11800</v>
      </c>
      <c r="Q21" s="3">
        <f t="shared" si="7"/>
        <v>11800</v>
      </c>
      <c r="R21" s="3">
        <f t="shared" si="7"/>
        <v>11800</v>
      </c>
      <c r="S21" s="3">
        <f t="shared" si="7"/>
        <v>11800</v>
      </c>
      <c r="T21" s="3">
        <f t="shared" si="7"/>
        <v>11800</v>
      </c>
      <c r="U21" s="3">
        <f t="shared" si="7"/>
        <v>11800</v>
      </c>
      <c r="V21" s="3">
        <f t="shared" si="7"/>
        <v>11800</v>
      </c>
      <c r="W21" s="3">
        <f t="shared" si="7"/>
        <v>11800</v>
      </c>
      <c r="X21" s="3">
        <f t="shared" si="7"/>
        <v>11800</v>
      </c>
      <c r="Y21" s="3">
        <f t="shared" si="7"/>
        <v>11800</v>
      </c>
      <c r="Z21" s="3">
        <f t="shared" si="7"/>
        <v>11800</v>
      </c>
      <c r="AA21" s="3">
        <f t="shared" si="7"/>
        <v>11800</v>
      </c>
      <c r="AB21" s="3">
        <f t="shared" si="7"/>
        <v>11800</v>
      </c>
      <c r="AC21" s="3">
        <f t="shared" si="7"/>
        <v>11800</v>
      </c>
      <c r="AD21" s="3">
        <f t="shared" si="7"/>
        <v>11800</v>
      </c>
      <c r="AE21" s="3">
        <f t="shared" si="7"/>
        <v>11800</v>
      </c>
      <c r="AF21" s="3">
        <f t="shared" si="7"/>
        <v>11800</v>
      </c>
      <c r="AG21" s="3">
        <f t="shared" si="7"/>
        <v>11800</v>
      </c>
      <c r="AH21" s="3">
        <f t="shared" si="7"/>
        <v>11800</v>
      </c>
      <c r="AI21" s="3">
        <f t="shared" si="7"/>
        <v>11800</v>
      </c>
      <c r="AJ21" s="3">
        <f t="shared" si="7"/>
        <v>11800</v>
      </c>
      <c r="AK21" s="3">
        <f t="shared" si="7"/>
        <v>11800</v>
      </c>
      <c r="AL21" s="3">
        <f t="shared" si="7"/>
        <v>11800</v>
      </c>
      <c r="AM21" s="3">
        <f t="shared" si="7"/>
        <v>11800</v>
      </c>
      <c r="AN21" s="3">
        <f t="shared" si="7"/>
        <v>11800</v>
      </c>
      <c r="AO21" s="3">
        <f t="shared" si="7"/>
        <v>11800</v>
      </c>
      <c r="AP21" s="3">
        <f t="shared" si="7"/>
        <v>11800</v>
      </c>
      <c r="AQ21" s="3">
        <f t="shared" si="7"/>
        <v>11800</v>
      </c>
      <c r="AR21" s="3">
        <f t="shared" si="7"/>
        <v>11800</v>
      </c>
      <c r="AS21" s="3">
        <f t="shared" si="7"/>
        <v>11800</v>
      </c>
      <c r="AT21" s="3">
        <f t="shared" si="7"/>
        <v>11800</v>
      </c>
      <c r="AU21" s="3">
        <f t="shared" si="7"/>
        <v>11800</v>
      </c>
      <c r="AV21" s="3">
        <f t="shared" si="7"/>
        <v>11800</v>
      </c>
      <c r="AW21" s="3">
        <f t="shared" si="7"/>
        <v>11800</v>
      </c>
      <c r="AX21" s="3">
        <f t="shared" si="7"/>
        <v>11800</v>
      </c>
      <c r="AY21" s="3">
        <f t="shared" si="7"/>
        <v>11800</v>
      </c>
      <c r="AZ21" s="3">
        <f t="shared" si="7"/>
        <v>11800</v>
      </c>
      <c r="BA21" s="3">
        <f t="shared" si="7"/>
        <v>11800</v>
      </c>
      <c r="BB21" s="3">
        <f t="shared" si="7"/>
        <v>11800</v>
      </c>
      <c r="BC21" s="3">
        <f t="shared" si="7"/>
        <v>11800</v>
      </c>
      <c r="BD21" s="3">
        <f t="shared" si="7"/>
        <v>11800</v>
      </c>
      <c r="BE21" s="3">
        <f t="shared" si="7"/>
        <v>11800</v>
      </c>
      <c r="BF21" s="3">
        <f t="shared" si="7"/>
        <v>11800</v>
      </c>
      <c r="BG21" s="3">
        <f t="shared" si="7"/>
        <v>11800</v>
      </c>
      <c r="BH21" s="3">
        <f t="shared" si="7"/>
        <v>11800</v>
      </c>
      <c r="BI21" s="3">
        <f t="shared" si="7"/>
        <v>11800</v>
      </c>
    </row>
    <row r="22" spans="1:61" x14ac:dyDescent="0.25">
      <c r="A22" t="str">
        <f t="shared" si="1"/>
        <v>Director of Operations / CS</v>
      </c>
      <c r="B22" s="3">
        <f>IF(AND(B$14&gt;=$E$9,B$14&lt;=$F$9),(($B$9*(1+$C$9)+$D$9)/12),0)*$G$9</f>
        <v>0</v>
      </c>
      <c r="C22" s="3">
        <f t="shared" ref="C22:BI22" si="8">IF(AND(C$14&gt;=$E$9,C$14&lt;=$F$9),(($B$9*(1+$C$9)+$D$9)/12),0)*$G$9</f>
        <v>0</v>
      </c>
      <c r="D22" s="3">
        <f t="shared" si="8"/>
        <v>0</v>
      </c>
      <c r="E22" s="3">
        <f t="shared" si="8"/>
        <v>11800</v>
      </c>
      <c r="F22" s="3">
        <f t="shared" si="8"/>
        <v>11800</v>
      </c>
      <c r="G22" s="3">
        <f t="shared" si="8"/>
        <v>11800</v>
      </c>
      <c r="H22" s="3">
        <f t="shared" si="8"/>
        <v>11800</v>
      </c>
      <c r="I22" s="3">
        <f t="shared" si="8"/>
        <v>11800</v>
      </c>
      <c r="J22" s="3">
        <f t="shared" si="8"/>
        <v>11800</v>
      </c>
      <c r="K22" s="3">
        <f t="shared" si="8"/>
        <v>11800</v>
      </c>
      <c r="L22" s="3">
        <f t="shared" si="8"/>
        <v>11800</v>
      </c>
      <c r="M22" s="3">
        <f t="shared" si="8"/>
        <v>11800</v>
      </c>
      <c r="N22" s="3">
        <f t="shared" si="8"/>
        <v>11800</v>
      </c>
      <c r="O22" s="3">
        <f t="shared" si="8"/>
        <v>11800</v>
      </c>
      <c r="P22" s="3">
        <f t="shared" si="8"/>
        <v>11800</v>
      </c>
      <c r="Q22" s="3">
        <f t="shared" si="8"/>
        <v>11800</v>
      </c>
      <c r="R22" s="3">
        <f t="shared" si="8"/>
        <v>11800</v>
      </c>
      <c r="S22" s="3">
        <f t="shared" si="8"/>
        <v>11800</v>
      </c>
      <c r="T22" s="3">
        <f t="shared" si="8"/>
        <v>11800</v>
      </c>
      <c r="U22" s="3">
        <f t="shared" si="8"/>
        <v>11800</v>
      </c>
      <c r="V22" s="3">
        <f t="shared" si="8"/>
        <v>11800</v>
      </c>
      <c r="W22" s="3">
        <f t="shared" si="8"/>
        <v>11800</v>
      </c>
      <c r="X22" s="3">
        <f t="shared" si="8"/>
        <v>11800</v>
      </c>
      <c r="Y22" s="3">
        <f t="shared" si="8"/>
        <v>11800</v>
      </c>
      <c r="Z22" s="3">
        <f t="shared" si="8"/>
        <v>11800</v>
      </c>
      <c r="AA22" s="3">
        <f t="shared" si="8"/>
        <v>11800</v>
      </c>
      <c r="AB22" s="3">
        <f t="shared" si="8"/>
        <v>11800</v>
      </c>
      <c r="AC22" s="3">
        <f t="shared" si="8"/>
        <v>11800</v>
      </c>
      <c r="AD22" s="3">
        <f t="shared" si="8"/>
        <v>11800</v>
      </c>
      <c r="AE22" s="3">
        <f t="shared" si="8"/>
        <v>11800</v>
      </c>
      <c r="AF22" s="3">
        <f t="shared" si="8"/>
        <v>11800</v>
      </c>
      <c r="AG22" s="3">
        <f t="shared" si="8"/>
        <v>11800</v>
      </c>
      <c r="AH22" s="3">
        <f t="shared" si="8"/>
        <v>11800</v>
      </c>
      <c r="AI22" s="3">
        <f t="shared" si="8"/>
        <v>11800</v>
      </c>
      <c r="AJ22" s="3">
        <f t="shared" si="8"/>
        <v>11800</v>
      </c>
      <c r="AK22" s="3">
        <f t="shared" si="8"/>
        <v>11800</v>
      </c>
      <c r="AL22" s="3">
        <f t="shared" si="8"/>
        <v>11800</v>
      </c>
      <c r="AM22" s="3">
        <f t="shared" si="8"/>
        <v>11800</v>
      </c>
      <c r="AN22" s="3">
        <f t="shared" si="8"/>
        <v>11800</v>
      </c>
      <c r="AO22" s="3">
        <f t="shared" si="8"/>
        <v>11800</v>
      </c>
      <c r="AP22" s="3">
        <f t="shared" si="8"/>
        <v>11800</v>
      </c>
      <c r="AQ22" s="3">
        <f t="shared" si="8"/>
        <v>11800</v>
      </c>
      <c r="AR22" s="3">
        <f t="shared" si="8"/>
        <v>11800</v>
      </c>
      <c r="AS22" s="3">
        <f t="shared" si="8"/>
        <v>11800</v>
      </c>
      <c r="AT22" s="3">
        <f t="shared" si="8"/>
        <v>11800</v>
      </c>
      <c r="AU22" s="3">
        <f t="shared" si="8"/>
        <v>11800</v>
      </c>
      <c r="AV22" s="3">
        <f t="shared" si="8"/>
        <v>11800</v>
      </c>
      <c r="AW22" s="3">
        <f t="shared" si="8"/>
        <v>11800</v>
      </c>
      <c r="AX22" s="3">
        <f t="shared" si="8"/>
        <v>11800</v>
      </c>
      <c r="AY22" s="3">
        <f t="shared" si="8"/>
        <v>11800</v>
      </c>
      <c r="AZ22" s="3">
        <f t="shared" si="8"/>
        <v>11800</v>
      </c>
      <c r="BA22" s="3">
        <f t="shared" si="8"/>
        <v>11800</v>
      </c>
      <c r="BB22" s="3">
        <f t="shared" si="8"/>
        <v>11800</v>
      </c>
      <c r="BC22" s="3">
        <f t="shared" si="8"/>
        <v>11800</v>
      </c>
      <c r="BD22" s="3">
        <f t="shared" si="8"/>
        <v>11800</v>
      </c>
      <c r="BE22" s="3">
        <f t="shared" si="8"/>
        <v>11800</v>
      </c>
      <c r="BF22" s="3">
        <f t="shared" si="8"/>
        <v>11800</v>
      </c>
      <c r="BG22" s="3">
        <f t="shared" si="8"/>
        <v>11800</v>
      </c>
      <c r="BH22" s="3">
        <f t="shared" si="8"/>
        <v>11800</v>
      </c>
      <c r="BI22" s="3">
        <f t="shared" si="8"/>
        <v>11800</v>
      </c>
    </row>
    <row r="23" spans="1:61" x14ac:dyDescent="0.25">
      <c r="A23" t="str">
        <f t="shared" si="1"/>
        <v xml:space="preserve">Web Designer </v>
      </c>
      <c r="B23" s="3">
        <f>IF(AND(B$14&gt;=$E$10,B$14&lt;=$F$10),(($B$10*(1+$C$10)+$D$10)/12),0)*$G$10</f>
        <v>0</v>
      </c>
      <c r="C23" s="3">
        <f t="shared" ref="C23:BI23" si="9">IF(AND(C$14&gt;=$E$10,C$14&lt;=$F$10),(($B$10*(1+$C$10)+$D$10)/12),0)*$G$10</f>
        <v>0</v>
      </c>
      <c r="D23" s="3">
        <f t="shared" si="9"/>
        <v>0</v>
      </c>
      <c r="E23" s="3">
        <f t="shared" si="9"/>
        <v>8850</v>
      </c>
      <c r="F23" s="3">
        <f t="shared" si="9"/>
        <v>8850</v>
      </c>
      <c r="G23" s="3">
        <f t="shared" si="9"/>
        <v>8850</v>
      </c>
      <c r="H23" s="3">
        <f t="shared" si="9"/>
        <v>8850</v>
      </c>
      <c r="I23" s="3">
        <f t="shared" si="9"/>
        <v>8850</v>
      </c>
      <c r="J23" s="3">
        <f t="shared" si="9"/>
        <v>8850</v>
      </c>
      <c r="K23" s="3">
        <f t="shared" si="9"/>
        <v>8850</v>
      </c>
      <c r="L23" s="3">
        <f t="shared" si="9"/>
        <v>8850</v>
      </c>
      <c r="M23" s="3">
        <f t="shared" si="9"/>
        <v>8850</v>
      </c>
      <c r="N23" s="3">
        <f t="shared" si="9"/>
        <v>8850</v>
      </c>
      <c r="O23" s="3">
        <f t="shared" si="9"/>
        <v>8850</v>
      </c>
      <c r="P23" s="3">
        <f t="shared" si="9"/>
        <v>8850</v>
      </c>
      <c r="Q23" s="3">
        <f t="shared" si="9"/>
        <v>8850</v>
      </c>
      <c r="R23" s="3">
        <f t="shared" si="9"/>
        <v>8850</v>
      </c>
      <c r="S23" s="3">
        <f t="shared" si="9"/>
        <v>8850</v>
      </c>
      <c r="T23" s="3">
        <f t="shared" si="9"/>
        <v>8850</v>
      </c>
      <c r="U23" s="3">
        <f t="shared" si="9"/>
        <v>8850</v>
      </c>
      <c r="V23" s="3">
        <f t="shared" si="9"/>
        <v>8850</v>
      </c>
      <c r="W23" s="3">
        <f t="shared" si="9"/>
        <v>8850</v>
      </c>
      <c r="X23" s="3">
        <f t="shared" si="9"/>
        <v>8850</v>
      </c>
      <c r="Y23" s="3">
        <f t="shared" si="9"/>
        <v>8850</v>
      </c>
      <c r="Z23" s="3">
        <f t="shared" si="9"/>
        <v>8850</v>
      </c>
      <c r="AA23" s="3">
        <f t="shared" si="9"/>
        <v>8850</v>
      </c>
      <c r="AB23" s="3">
        <f t="shared" si="9"/>
        <v>8850</v>
      </c>
      <c r="AC23" s="3">
        <f t="shared" si="9"/>
        <v>8850</v>
      </c>
      <c r="AD23" s="3">
        <f t="shared" si="9"/>
        <v>8850</v>
      </c>
      <c r="AE23" s="3">
        <f t="shared" si="9"/>
        <v>8850</v>
      </c>
      <c r="AF23" s="3">
        <f t="shared" si="9"/>
        <v>8850</v>
      </c>
      <c r="AG23" s="3">
        <f t="shared" si="9"/>
        <v>8850</v>
      </c>
      <c r="AH23" s="3">
        <f t="shared" si="9"/>
        <v>8850</v>
      </c>
      <c r="AI23" s="3">
        <f t="shared" si="9"/>
        <v>8850</v>
      </c>
      <c r="AJ23" s="3">
        <f t="shared" si="9"/>
        <v>8850</v>
      </c>
      <c r="AK23" s="3">
        <f t="shared" si="9"/>
        <v>8850</v>
      </c>
      <c r="AL23" s="3">
        <f t="shared" si="9"/>
        <v>8850</v>
      </c>
      <c r="AM23" s="3">
        <f t="shared" si="9"/>
        <v>8850</v>
      </c>
      <c r="AN23" s="3">
        <f t="shared" si="9"/>
        <v>8850</v>
      </c>
      <c r="AO23" s="3">
        <f t="shared" si="9"/>
        <v>8850</v>
      </c>
      <c r="AP23" s="3">
        <f t="shared" si="9"/>
        <v>8850</v>
      </c>
      <c r="AQ23" s="3">
        <f t="shared" si="9"/>
        <v>8850</v>
      </c>
      <c r="AR23" s="3">
        <f t="shared" si="9"/>
        <v>8850</v>
      </c>
      <c r="AS23" s="3">
        <f t="shared" si="9"/>
        <v>8850</v>
      </c>
      <c r="AT23" s="3">
        <f t="shared" si="9"/>
        <v>8850</v>
      </c>
      <c r="AU23" s="3">
        <f t="shared" si="9"/>
        <v>8850</v>
      </c>
      <c r="AV23" s="3">
        <f t="shared" si="9"/>
        <v>8850</v>
      </c>
      <c r="AW23" s="3">
        <f t="shared" si="9"/>
        <v>8850</v>
      </c>
      <c r="AX23" s="3">
        <f t="shared" si="9"/>
        <v>8850</v>
      </c>
      <c r="AY23" s="3">
        <f t="shared" si="9"/>
        <v>8850</v>
      </c>
      <c r="AZ23" s="3">
        <f t="shared" si="9"/>
        <v>8850</v>
      </c>
      <c r="BA23" s="3">
        <f t="shared" si="9"/>
        <v>8850</v>
      </c>
      <c r="BB23" s="3">
        <f t="shared" si="9"/>
        <v>8850</v>
      </c>
      <c r="BC23" s="3">
        <f t="shared" si="9"/>
        <v>8850</v>
      </c>
      <c r="BD23" s="3">
        <f t="shared" si="9"/>
        <v>8850</v>
      </c>
      <c r="BE23" s="3">
        <f t="shared" si="9"/>
        <v>8850</v>
      </c>
      <c r="BF23" s="3">
        <f t="shared" si="9"/>
        <v>8850</v>
      </c>
      <c r="BG23" s="3">
        <f t="shared" si="9"/>
        <v>8850</v>
      </c>
      <c r="BH23" s="3">
        <f t="shared" si="9"/>
        <v>8850</v>
      </c>
      <c r="BI23" s="3">
        <f t="shared" si="9"/>
        <v>8850</v>
      </c>
    </row>
    <row r="24" spans="1:61" x14ac:dyDescent="0.25">
      <c r="A24" t="str">
        <f>A11</f>
        <v>Director of HR</v>
      </c>
      <c r="B24" s="3">
        <f>IF(AND(B14&gt;=E11,B14&lt;=F11),((B11*(1+C11)+D11)/12),0)*G11</f>
        <v>0</v>
      </c>
      <c r="C24" s="3">
        <f>IF(AND(C14&gt;=E11,C14&lt;=F11),((B11*(1+C11)+D11)/12),0)*G11</f>
        <v>0</v>
      </c>
      <c r="D24" s="3">
        <f>IF(AND(D14&gt;=E11,D14&lt;=F11),((B11*(1+C11)+D11)/12),0)*G11</f>
        <v>0</v>
      </c>
      <c r="E24" s="3">
        <f>IF(AND(E14&gt;=E11,E14&lt;=F11),((B11*(1+C11)+D11)/12),0)*G11</f>
        <v>0</v>
      </c>
      <c r="F24" s="3">
        <f>IF(AND(F14&gt;=E11,F14&lt;=F11),((B11*(1+C11)+D11)/12),0)*G11</f>
        <v>0</v>
      </c>
      <c r="G24" s="3">
        <f>IF(AND(G14&gt;=E11,G14&lt;=F11),((B11*(1+C11)+D11)/12),0)*G11</f>
        <v>0</v>
      </c>
      <c r="H24" s="3">
        <f>IF(AND(H14&gt;=E11,H14&lt;=F11),((B11*(1+C11)+D11)/12),0)*G11</f>
        <v>10816.666666666668</v>
      </c>
      <c r="I24" s="3">
        <f>IF(AND(I14&gt;=E11,I14&lt;=F11),((B11*(1+C11)+D11)/12),0)*G11</f>
        <v>10816.666666666668</v>
      </c>
      <c r="J24" s="3">
        <f>IF(AND(J14&gt;=E11,J14&lt;=F11),((B11*(1+C11)+D11)/12),0)*G11</f>
        <v>10816.666666666668</v>
      </c>
      <c r="K24" s="3">
        <f>IF(AND(K14&gt;=E11,K14&lt;=F11),((B11*(1+C11)+D11)/12),0)*G11</f>
        <v>10816.666666666668</v>
      </c>
      <c r="L24" s="3">
        <f>IF(AND(L14&gt;=E11,L14&lt;=F11),((B11*(1+C11)+D11)/12),0)*G11</f>
        <v>10816.666666666668</v>
      </c>
      <c r="M24" s="3">
        <f>IF(AND(M14&gt;=E11,M14&lt;=F11),((B11*(1+C11)+D11)/12),0)*G11</f>
        <v>10816.666666666668</v>
      </c>
      <c r="N24" s="3">
        <f>IF(AND(N14&gt;=E11,N14&lt;=F11),((B11*(1+C11)+D11)/12),0)*G11</f>
        <v>10816.666666666668</v>
      </c>
      <c r="O24" s="3">
        <f>IF(AND(O14&gt;=E11,O14&lt;=F11),((B11*(1+C11)+D11)/12),0)*G11</f>
        <v>10816.666666666668</v>
      </c>
      <c r="P24" s="3">
        <f>IF(AND(P14&gt;=E11,P14&lt;=F11),((B11*(1+C11)+D11)/12),0)*G11</f>
        <v>10816.666666666668</v>
      </c>
      <c r="Q24" s="3">
        <f>IF(AND(Q14&gt;=E11,Q14&lt;=F11),((B11*(1+C11)+D11)/12),0)*G11</f>
        <v>10816.666666666668</v>
      </c>
      <c r="R24" s="3">
        <f>IF(AND(R14&gt;=E11,R14&lt;=F11),((B11*(1+C11)+D11)/12),0)*G11</f>
        <v>10816.666666666668</v>
      </c>
      <c r="S24" s="3">
        <f>IF(AND(S14&gt;=E11,S14&lt;=F11),((B11*(1+C11)+D11)/12),0)*G11</f>
        <v>10816.666666666668</v>
      </c>
      <c r="T24" s="3">
        <f>IF(AND(T14&gt;=E11,T14&lt;=F11),((B11*(1+C11)+D11)/12),0)*G11</f>
        <v>10816.666666666668</v>
      </c>
      <c r="U24" s="3">
        <f>IF(AND(U14&gt;=E11,U14&lt;=F11),((B11*(1+C11)+D11)/12),0)*G11</f>
        <v>10816.666666666668</v>
      </c>
      <c r="V24" s="3">
        <f>IF(AND(V14&gt;=E11,V14&lt;=F11),((B11*(1+C11)+D11)/12),0)*G11</f>
        <v>10816.666666666668</v>
      </c>
      <c r="W24" s="3">
        <f>IF(AND(W14&gt;=E11,W14&lt;=F11),((B11*(1+C11)+D11)/12),0)*G11</f>
        <v>10816.666666666668</v>
      </c>
      <c r="X24" s="3">
        <f>IF(AND(X14&gt;=E11,X14&lt;=F11),((B11*(1+C11)+D11)/12),0)*G11</f>
        <v>10816.666666666668</v>
      </c>
      <c r="Y24" s="3">
        <f>IF(AND(Y14&gt;=E11,Y14&lt;=F11),((B11*(1+C11)+D11)/12),0)*G11</f>
        <v>10816.666666666668</v>
      </c>
      <c r="Z24" s="3">
        <f>IF(AND(Z14&gt;=E11,Z14&lt;=F11),((B11*(1+C11)+D11)/12),0)*G11</f>
        <v>10816.666666666668</v>
      </c>
      <c r="AA24" s="3">
        <f>IF(AND(AA14&gt;=E11,AA14&lt;=F11),((B11*(1+C11)+D11)/12),0)*G11</f>
        <v>10816.666666666668</v>
      </c>
      <c r="AB24" s="3">
        <f>IF(AND(AB14&gt;=E11,AB14&lt;=F11),((B11*(1+C11)+D11)/12),0)*G11</f>
        <v>10816.666666666668</v>
      </c>
      <c r="AC24" s="3">
        <f>IF(AND(AC14&gt;=E11,AC14&lt;=F11),((B11*(1+C11)+D11)/12),0)*G11</f>
        <v>10816.666666666668</v>
      </c>
      <c r="AD24" s="3">
        <f>IF(AND(AD14&gt;=E11,AD14&lt;=F11),((B11*(1+C11)+D11)/12),0)*G11</f>
        <v>10816.666666666668</v>
      </c>
      <c r="AE24" s="3">
        <f>IF(AND(AE14&gt;=E11,AE14&lt;=F11),((B11*(1+C11)+D11)/12),0)*G11</f>
        <v>10816.666666666668</v>
      </c>
      <c r="AF24" s="3">
        <f>IF(AND(AF14&gt;=E11,AF14&lt;=F11),((B11*(1+C11)+D11)/12),0)*G11</f>
        <v>10816.666666666668</v>
      </c>
      <c r="AG24" s="3">
        <f>IF(AND(AG14&gt;=E11,AG14&lt;=F11),((B11*(1+C11)+D11)/12),0)*G11</f>
        <v>10816.666666666668</v>
      </c>
      <c r="AH24" s="3">
        <f>IF(AND(AH14&gt;=E11,AH14&lt;=F11),((B11*(1+C11)+D11)/12),0)*G11</f>
        <v>10816.666666666668</v>
      </c>
      <c r="AI24" s="3">
        <f>IF(AND(AI14&gt;=E11,AI14&lt;=F11),((B11*(1+C11)+D11)/12),0)*G11</f>
        <v>10816.666666666668</v>
      </c>
      <c r="AJ24" s="3">
        <f>IF(AND(AJ14&gt;=E11,AJ14&lt;=F11),((B11*(1+C11)+D11)/12),0)*G11</f>
        <v>10816.666666666668</v>
      </c>
      <c r="AK24" s="3">
        <f>IF(AND(AK$14&gt;=$E$11,AK$14&lt;=$F$11),(($B$11*(1+$C$11)+$D$11)/12),0)*$G$11</f>
        <v>10816.666666666668</v>
      </c>
      <c r="AL24" s="3">
        <f t="shared" ref="AL24:BI24" si="10">IF(AND(AL$14&gt;=$E$11,AL$14&lt;=$F$11),(($B$11*(1+$C$11)+$D$11)/12),0)*$G$11</f>
        <v>10816.666666666668</v>
      </c>
      <c r="AM24" s="3">
        <f t="shared" si="10"/>
        <v>10816.666666666668</v>
      </c>
      <c r="AN24" s="3">
        <f t="shared" si="10"/>
        <v>10816.666666666668</v>
      </c>
      <c r="AO24" s="3">
        <f t="shared" si="10"/>
        <v>10816.666666666668</v>
      </c>
      <c r="AP24" s="3">
        <f t="shared" si="10"/>
        <v>10816.666666666668</v>
      </c>
      <c r="AQ24" s="3">
        <f t="shared" si="10"/>
        <v>10816.666666666668</v>
      </c>
      <c r="AR24" s="3">
        <f t="shared" si="10"/>
        <v>10816.666666666668</v>
      </c>
      <c r="AS24" s="3">
        <f t="shared" si="10"/>
        <v>10816.666666666668</v>
      </c>
      <c r="AT24" s="3">
        <f t="shared" si="10"/>
        <v>10816.666666666668</v>
      </c>
      <c r="AU24" s="3">
        <f t="shared" si="10"/>
        <v>10816.666666666668</v>
      </c>
      <c r="AV24" s="3">
        <f t="shared" si="10"/>
        <v>10816.666666666668</v>
      </c>
      <c r="AW24" s="3">
        <f t="shared" si="10"/>
        <v>10816.666666666668</v>
      </c>
      <c r="AX24" s="3">
        <f t="shared" si="10"/>
        <v>10816.666666666668</v>
      </c>
      <c r="AY24" s="3">
        <f t="shared" si="10"/>
        <v>10816.666666666668</v>
      </c>
      <c r="AZ24" s="3">
        <f t="shared" si="10"/>
        <v>10816.666666666668</v>
      </c>
      <c r="BA24" s="3">
        <f t="shared" si="10"/>
        <v>10816.666666666668</v>
      </c>
      <c r="BB24" s="3">
        <f t="shared" si="10"/>
        <v>10816.666666666668</v>
      </c>
      <c r="BC24" s="3">
        <f t="shared" si="10"/>
        <v>10816.666666666668</v>
      </c>
      <c r="BD24" s="3">
        <f t="shared" si="10"/>
        <v>10816.666666666668</v>
      </c>
      <c r="BE24" s="3">
        <f t="shared" si="10"/>
        <v>10816.666666666668</v>
      </c>
      <c r="BF24" s="3">
        <f t="shared" si="10"/>
        <v>10816.666666666668</v>
      </c>
      <c r="BG24" s="3">
        <f t="shared" si="10"/>
        <v>10816.666666666668</v>
      </c>
      <c r="BH24" s="3">
        <f t="shared" si="10"/>
        <v>10816.666666666668</v>
      </c>
      <c r="BI24" s="3">
        <f t="shared" si="10"/>
        <v>10816.666666666668</v>
      </c>
    </row>
    <row r="25" spans="1:61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</row>
    <row r="26" spans="1:61" x14ac:dyDescent="0.25">
      <c r="A26" s="30" t="s">
        <v>160</v>
      </c>
      <c r="B26" s="3">
        <f>SUM(B15:B24)</f>
        <v>46166.666666666664</v>
      </c>
      <c r="C26" s="3">
        <f t="shared" ref="C26:BI26" si="11">SUM(C15:C24)</f>
        <v>57966.666666666664</v>
      </c>
      <c r="D26" s="3">
        <f t="shared" si="11"/>
        <v>80666.666666666672</v>
      </c>
      <c r="E26" s="3">
        <f t="shared" si="11"/>
        <v>101316.66666666667</v>
      </c>
      <c r="F26" s="3">
        <f t="shared" si="11"/>
        <v>101316.66666666667</v>
      </c>
      <c r="G26" s="3">
        <f t="shared" si="11"/>
        <v>101316.66666666667</v>
      </c>
      <c r="H26" s="3">
        <f t="shared" si="11"/>
        <v>112133.33333333334</v>
      </c>
      <c r="I26" s="3">
        <f t="shared" si="11"/>
        <v>112133.33333333334</v>
      </c>
      <c r="J26" s="3">
        <f t="shared" si="11"/>
        <v>112133.33333333334</v>
      </c>
      <c r="K26" s="3">
        <f t="shared" si="11"/>
        <v>112133.33333333334</v>
      </c>
      <c r="L26" s="3">
        <f t="shared" si="11"/>
        <v>112133.33333333334</v>
      </c>
      <c r="M26" s="3">
        <f t="shared" si="11"/>
        <v>112133.33333333334</v>
      </c>
      <c r="N26" s="3">
        <f t="shared" si="11"/>
        <v>112133.33333333334</v>
      </c>
      <c r="O26" s="3">
        <f t="shared" si="11"/>
        <v>112133.33333333334</v>
      </c>
      <c r="P26" s="3">
        <f t="shared" si="11"/>
        <v>112133.33333333334</v>
      </c>
      <c r="Q26" s="3">
        <f t="shared" si="11"/>
        <v>112133.33333333334</v>
      </c>
      <c r="R26" s="3">
        <f t="shared" si="11"/>
        <v>112133.33333333334</v>
      </c>
      <c r="S26" s="3">
        <f t="shared" si="11"/>
        <v>112133.33333333334</v>
      </c>
      <c r="T26" s="3">
        <f t="shared" si="11"/>
        <v>112133.33333333334</v>
      </c>
      <c r="U26" s="3">
        <f t="shared" si="11"/>
        <v>112133.33333333334</v>
      </c>
      <c r="V26" s="3">
        <f t="shared" si="11"/>
        <v>112133.33333333334</v>
      </c>
      <c r="W26" s="3">
        <f t="shared" si="11"/>
        <v>112133.33333333334</v>
      </c>
      <c r="X26" s="3">
        <f t="shared" si="11"/>
        <v>112133.33333333334</v>
      </c>
      <c r="Y26" s="3">
        <f t="shared" si="11"/>
        <v>112133.33333333334</v>
      </c>
      <c r="Z26" s="3">
        <f t="shared" si="11"/>
        <v>112133.33333333334</v>
      </c>
      <c r="AA26" s="3">
        <f t="shared" si="11"/>
        <v>112133.33333333334</v>
      </c>
      <c r="AB26" s="3">
        <f t="shared" si="11"/>
        <v>112133.33333333334</v>
      </c>
      <c r="AC26" s="3">
        <f t="shared" si="11"/>
        <v>112133.33333333334</v>
      </c>
      <c r="AD26" s="3">
        <f t="shared" si="11"/>
        <v>112133.33333333334</v>
      </c>
      <c r="AE26" s="3">
        <f t="shared" si="11"/>
        <v>112133.33333333334</v>
      </c>
      <c r="AF26" s="3">
        <f t="shared" si="11"/>
        <v>112133.33333333334</v>
      </c>
      <c r="AG26" s="3">
        <f t="shared" si="11"/>
        <v>112133.33333333334</v>
      </c>
      <c r="AH26" s="3">
        <f t="shared" si="11"/>
        <v>112133.33333333334</v>
      </c>
      <c r="AI26" s="3">
        <f t="shared" si="11"/>
        <v>112133.33333333334</v>
      </c>
      <c r="AJ26" s="3">
        <f t="shared" si="11"/>
        <v>112133.33333333334</v>
      </c>
      <c r="AK26" s="3">
        <f t="shared" si="11"/>
        <v>112133.33333333334</v>
      </c>
      <c r="AL26" s="3">
        <f t="shared" si="11"/>
        <v>112133.33333333334</v>
      </c>
      <c r="AM26" s="3">
        <f t="shared" si="11"/>
        <v>112133.33333333334</v>
      </c>
      <c r="AN26" s="3">
        <f t="shared" si="11"/>
        <v>112133.33333333334</v>
      </c>
      <c r="AO26" s="3">
        <f t="shared" si="11"/>
        <v>112133.33333333334</v>
      </c>
      <c r="AP26" s="3">
        <f t="shared" si="11"/>
        <v>112133.33333333334</v>
      </c>
      <c r="AQ26" s="3">
        <f t="shared" si="11"/>
        <v>112133.33333333334</v>
      </c>
      <c r="AR26" s="3">
        <f t="shared" si="11"/>
        <v>112133.33333333334</v>
      </c>
      <c r="AS26" s="3">
        <f t="shared" si="11"/>
        <v>112133.33333333334</v>
      </c>
      <c r="AT26" s="3">
        <f t="shared" si="11"/>
        <v>112133.33333333334</v>
      </c>
      <c r="AU26" s="3">
        <f t="shared" si="11"/>
        <v>112133.33333333334</v>
      </c>
      <c r="AV26" s="3">
        <f t="shared" si="11"/>
        <v>112133.33333333334</v>
      </c>
      <c r="AW26" s="3">
        <f t="shared" si="11"/>
        <v>112133.33333333334</v>
      </c>
      <c r="AX26" s="3">
        <f t="shared" si="11"/>
        <v>112133.33333333334</v>
      </c>
      <c r="AY26" s="3">
        <f t="shared" si="11"/>
        <v>112133.33333333334</v>
      </c>
      <c r="AZ26" s="3">
        <f t="shared" si="11"/>
        <v>112133.33333333334</v>
      </c>
      <c r="BA26" s="3">
        <f t="shared" si="11"/>
        <v>112133.33333333334</v>
      </c>
      <c r="BB26" s="3">
        <f t="shared" si="11"/>
        <v>112133.33333333334</v>
      </c>
      <c r="BC26" s="3">
        <f t="shared" si="11"/>
        <v>112133.33333333334</v>
      </c>
      <c r="BD26" s="3">
        <f t="shared" si="11"/>
        <v>112133.33333333334</v>
      </c>
      <c r="BE26" s="3">
        <f t="shared" si="11"/>
        <v>112133.33333333334</v>
      </c>
      <c r="BF26" s="3">
        <f t="shared" si="11"/>
        <v>112133.33333333334</v>
      </c>
      <c r="BG26" s="3">
        <f t="shared" si="11"/>
        <v>112133.33333333334</v>
      </c>
      <c r="BH26" s="3">
        <f t="shared" si="11"/>
        <v>112133.33333333334</v>
      </c>
      <c r="BI26" s="3">
        <f t="shared" si="11"/>
        <v>112133.33333333334</v>
      </c>
    </row>
    <row r="28" spans="1:61" x14ac:dyDescent="0.25">
      <c r="A28" s="23" t="s">
        <v>156</v>
      </c>
      <c r="B28" s="3">
        <f>B26</f>
        <v>46166.666666666664</v>
      </c>
      <c r="C28" s="3">
        <f t="shared" ref="C28:BI28" si="12">C26</f>
        <v>57966.666666666664</v>
      </c>
      <c r="D28" s="3">
        <f t="shared" si="12"/>
        <v>80666.666666666672</v>
      </c>
      <c r="E28" s="3">
        <f t="shared" si="12"/>
        <v>101316.66666666667</v>
      </c>
      <c r="F28" s="3">
        <f t="shared" si="12"/>
        <v>101316.66666666667</v>
      </c>
      <c r="G28" s="3">
        <f t="shared" si="12"/>
        <v>101316.66666666667</v>
      </c>
      <c r="H28" s="3">
        <f t="shared" si="12"/>
        <v>112133.33333333334</v>
      </c>
      <c r="I28" s="3">
        <f t="shared" si="12"/>
        <v>112133.33333333334</v>
      </c>
      <c r="J28" s="3">
        <f t="shared" si="12"/>
        <v>112133.33333333334</v>
      </c>
      <c r="K28" s="3">
        <f t="shared" si="12"/>
        <v>112133.33333333334</v>
      </c>
      <c r="L28" s="3">
        <f t="shared" si="12"/>
        <v>112133.33333333334</v>
      </c>
      <c r="M28" s="3">
        <f t="shared" si="12"/>
        <v>112133.33333333334</v>
      </c>
      <c r="N28" s="3">
        <f t="shared" si="12"/>
        <v>112133.33333333334</v>
      </c>
      <c r="O28" s="3">
        <f t="shared" si="12"/>
        <v>112133.33333333334</v>
      </c>
      <c r="P28" s="3">
        <f t="shared" si="12"/>
        <v>112133.33333333334</v>
      </c>
      <c r="Q28" s="3">
        <f t="shared" si="12"/>
        <v>112133.33333333334</v>
      </c>
      <c r="R28" s="3">
        <f t="shared" si="12"/>
        <v>112133.33333333334</v>
      </c>
      <c r="S28" s="3">
        <f t="shared" si="12"/>
        <v>112133.33333333334</v>
      </c>
      <c r="T28" s="3">
        <f t="shared" si="12"/>
        <v>112133.33333333334</v>
      </c>
      <c r="U28" s="3">
        <f t="shared" si="12"/>
        <v>112133.33333333334</v>
      </c>
      <c r="V28" s="3">
        <f t="shared" si="12"/>
        <v>112133.33333333334</v>
      </c>
      <c r="W28" s="3">
        <f t="shared" si="12"/>
        <v>112133.33333333334</v>
      </c>
      <c r="X28" s="3">
        <f t="shared" si="12"/>
        <v>112133.33333333334</v>
      </c>
      <c r="Y28" s="3">
        <f t="shared" si="12"/>
        <v>112133.33333333334</v>
      </c>
      <c r="Z28" s="3">
        <f t="shared" si="12"/>
        <v>112133.33333333334</v>
      </c>
      <c r="AA28" s="3">
        <f t="shared" si="12"/>
        <v>112133.33333333334</v>
      </c>
      <c r="AB28" s="3">
        <f t="shared" si="12"/>
        <v>112133.33333333334</v>
      </c>
      <c r="AC28" s="3">
        <f t="shared" si="12"/>
        <v>112133.33333333334</v>
      </c>
      <c r="AD28" s="3">
        <f t="shared" si="12"/>
        <v>112133.33333333334</v>
      </c>
      <c r="AE28" s="3">
        <f t="shared" si="12"/>
        <v>112133.33333333334</v>
      </c>
      <c r="AF28" s="3">
        <f t="shared" si="12"/>
        <v>112133.33333333334</v>
      </c>
      <c r="AG28" s="3">
        <f t="shared" si="12"/>
        <v>112133.33333333334</v>
      </c>
      <c r="AH28" s="3">
        <f t="shared" si="12"/>
        <v>112133.33333333334</v>
      </c>
      <c r="AI28" s="3">
        <f t="shared" si="12"/>
        <v>112133.33333333334</v>
      </c>
      <c r="AJ28" s="3">
        <f t="shared" si="12"/>
        <v>112133.33333333334</v>
      </c>
      <c r="AK28" s="3">
        <f t="shared" si="12"/>
        <v>112133.33333333334</v>
      </c>
      <c r="AL28" s="3">
        <f t="shared" si="12"/>
        <v>112133.33333333334</v>
      </c>
      <c r="AM28" s="3">
        <f t="shared" si="12"/>
        <v>112133.33333333334</v>
      </c>
      <c r="AN28" s="3">
        <f t="shared" si="12"/>
        <v>112133.33333333334</v>
      </c>
      <c r="AO28" s="3">
        <f t="shared" si="12"/>
        <v>112133.33333333334</v>
      </c>
      <c r="AP28" s="3">
        <f t="shared" si="12"/>
        <v>112133.33333333334</v>
      </c>
      <c r="AQ28" s="3">
        <f t="shared" si="12"/>
        <v>112133.33333333334</v>
      </c>
      <c r="AR28" s="3">
        <f t="shared" si="12"/>
        <v>112133.33333333334</v>
      </c>
      <c r="AS28" s="3">
        <f t="shared" si="12"/>
        <v>112133.33333333334</v>
      </c>
      <c r="AT28" s="3">
        <f t="shared" si="12"/>
        <v>112133.33333333334</v>
      </c>
      <c r="AU28" s="3">
        <f t="shared" si="12"/>
        <v>112133.33333333334</v>
      </c>
      <c r="AV28" s="3">
        <f t="shared" si="12"/>
        <v>112133.33333333334</v>
      </c>
      <c r="AW28" s="3">
        <f t="shared" si="12"/>
        <v>112133.33333333334</v>
      </c>
      <c r="AX28" s="3">
        <f t="shared" si="12"/>
        <v>112133.33333333334</v>
      </c>
      <c r="AY28" s="3">
        <f t="shared" si="12"/>
        <v>112133.33333333334</v>
      </c>
      <c r="AZ28" s="3">
        <f t="shared" si="12"/>
        <v>112133.33333333334</v>
      </c>
      <c r="BA28" s="3">
        <f t="shared" si="12"/>
        <v>112133.33333333334</v>
      </c>
      <c r="BB28" s="3">
        <f t="shared" si="12"/>
        <v>112133.33333333334</v>
      </c>
      <c r="BC28" s="3">
        <f t="shared" si="12"/>
        <v>112133.33333333334</v>
      </c>
      <c r="BD28" s="3">
        <f t="shared" si="12"/>
        <v>112133.33333333334</v>
      </c>
      <c r="BE28" s="3">
        <f t="shared" si="12"/>
        <v>112133.33333333334</v>
      </c>
      <c r="BF28" s="3">
        <f t="shared" si="12"/>
        <v>112133.33333333334</v>
      </c>
      <c r="BG28" s="3">
        <f t="shared" si="12"/>
        <v>112133.33333333334</v>
      </c>
      <c r="BH28" s="3">
        <f t="shared" si="12"/>
        <v>112133.33333333334</v>
      </c>
      <c r="BI28" s="3">
        <f t="shared" si="12"/>
        <v>112133.33333333334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B2" sqref="B2"/>
    </sheetView>
  </sheetViews>
  <sheetFormatPr defaultColWidth="8.85546875" defaultRowHeight="15" x14ac:dyDescent="0.25"/>
  <cols>
    <col min="1" max="1" width="40" customWidth="1"/>
    <col min="2" max="3" width="14" bestFit="1" customWidth="1"/>
    <col min="4" max="4" width="15.28515625" bestFit="1" customWidth="1"/>
    <col min="5" max="5" width="24.7109375" bestFit="1" customWidth="1"/>
  </cols>
  <sheetData>
    <row r="1" spans="1:5" x14ac:dyDescent="0.25">
      <c r="A1" s="4" t="s">
        <v>49</v>
      </c>
      <c r="C1" t="s">
        <v>50</v>
      </c>
      <c r="D1" t="s">
        <v>13</v>
      </c>
      <c r="E1" t="s">
        <v>30</v>
      </c>
    </row>
    <row r="2" spans="1:5" x14ac:dyDescent="0.25">
      <c r="A2" s="4" t="s">
        <v>51</v>
      </c>
      <c r="B2" s="3">
        <f>DATA!B8</f>
        <v>90000</v>
      </c>
    </row>
    <row r="3" spans="1:5" x14ac:dyDescent="0.25">
      <c r="A3" s="4" t="str">
        <f>DATA!A19</f>
        <v>Equipment</v>
      </c>
      <c r="B3" s="3">
        <f>DATA!B19</f>
        <v>200000</v>
      </c>
      <c r="C3">
        <f>DATA!C19</f>
        <v>7</v>
      </c>
      <c r="D3" s="3">
        <f>DATA!D19</f>
        <v>50000</v>
      </c>
      <c r="E3" s="3">
        <f>((B3-D3)/C3)/12</f>
        <v>1785.7142857142856</v>
      </c>
    </row>
    <row r="4" spans="1:5" x14ac:dyDescent="0.25">
      <c r="A4" s="4" t="str">
        <f>DATA!A22</f>
        <v>Computers, Desks, Furniture, etc</v>
      </c>
      <c r="B4" s="3">
        <f>DATA!B22</f>
        <v>10000</v>
      </c>
      <c r="C4">
        <f>DATA!C22</f>
        <v>4</v>
      </c>
      <c r="D4" s="3">
        <f>DATA!D22</f>
        <v>0</v>
      </c>
      <c r="E4" s="3">
        <f>((B4-D4)/C4)/12</f>
        <v>208.33333333333334</v>
      </c>
    </row>
    <row r="5" spans="1:5" x14ac:dyDescent="0.25">
      <c r="A5" s="4" t="s">
        <v>52</v>
      </c>
      <c r="B5" s="19">
        <v>5000</v>
      </c>
    </row>
    <row r="6" spans="1:5" x14ac:dyDescent="0.25">
      <c r="A6" s="4" t="s">
        <v>53</v>
      </c>
      <c r="B6" s="19">
        <v>50000</v>
      </c>
    </row>
    <row r="8" spans="1:5" x14ac:dyDescent="0.25">
      <c r="A8" s="4" t="s">
        <v>54</v>
      </c>
      <c r="B8" s="3">
        <f>SUM(B2:B6)</f>
        <v>355000</v>
      </c>
    </row>
    <row r="10" spans="1:5" x14ac:dyDescent="0.25">
      <c r="A10" s="4" t="s">
        <v>55</v>
      </c>
    </row>
    <row r="11" spans="1:5" x14ac:dyDescent="0.25">
      <c r="A11" s="4" t="s">
        <v>56</v>
      </c>
      <c r="B11" s="19">
        <v>50000</v>
      </c>
    </row>
    <row r="12" spans="1:5" x14ac:dyDescent="0.25">
      <c r="A12" s="4" t="s">
        <v>57</v>
      </c>
      <c r="B12" s="3">
        <f>0</f>
        <v>0</v>
      </c>
    </row>
    <row r="13" spans="1:5" x14ac:dyDescent="0.25">
      <c r="A13" s="4" t="s">
        <v>58</v>
      </c>
      <c r="B13" s="3">
        <f>IF(LoanModule!C5=-1,LoanModule!C2,0)</f>
        <v>0</v>
      </c>
    </row>
    <row r="16" spans="1:5" x14ac:dyDescent="0.25">
      <c r="A16" s="4" t="s">
        <v>59</v>
      </c>
    </row>
    <row r="17" spans="1:2" x14ac:dyDescent="0.25">
      <c r="A17" t="s">
        <v>60</v>
      </c>
      <c r="B17" s="3">
        <f>SUM(B2:B3)</f>
        <v>290000</v>
      </c>
    </row>
    <row r="18" spans="1:2" x14ac:dyDescent="0.25">
      <c r="A18" t="s">
        <v>61</v>
      </c>
      <c r="B18" s="3">
        <f>SUM(B2:B3)</f>
        <v>290000</v>
      </c>
    </row>
    <row r="19" spans="1:2" x14ac:dyDescent="0.25">
      <c r="A19" t="s">
        <v>10</v>
      </c>
      <c r="B19" s="3">
        <f>SUM(B3:B3)</f>
        <v>200000</v>
      </c>
    </row>
    <row r="20" spans="1:2" x14ac:dyDescent="0.25">
      <c r="A20" t="s">
        <v>15</v>
      </c>
      <c r="B20" s="3">
        <f>SUM(B4:B4)</f>
        <v>10000</v>
      </c>
    </row>
    <row r="21" spans="1:2" x14ac:dyDescent="0.25">
      <c r="A21" s="4" t="s">
        <v>51</v>
      </c>
      <c r="B21" s="3">
        <f>DATA!B8</f>
        <v>90000</v>
      </c>
    </row>
    <row r="22" spans="1:2" x14ac:dyDescent="0.25">
      <c r="A22" s="4" t="s">
        <v>62</v>
      </c>
      <c r="B22" s="3">
        <v>5000</v>
      </c>
    </row>
    <row r="23" spans="1:2" x14ac:dyDescent="0.25">
      <c r="A23" s="4" t="s">
        <v>53</v>
      </c>
      <c r="B23" s="3">
        <f>B6</f>
        <v>50000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>
      <selection activeCell="E10" sqref="E10"/>
    </sheetView>
  </sheetViews>
  <sheetFormatPr defaultColWidth="8.85546875" defaultRowHeight="15" x14ac:dyDescent="0.25"/>
  <cols>
    <col min="1" max="1" width="31.7109375" bestFit="1" customWidth="1"/>
    <col min="2" max="2" width="10" bestFit="1" customWidth="1"/>
    <col min="3" max="3" width="9" bestFit="1" customWidth="1"/>
    <col min="4" max="4" width="10" bestFit="1" customWidth="1"/>
    <col min="5" max="13" width="9.28515625" bestFit="1" customWidth="1"/>
    <col min="14" max="14" width="11.5703125" bestFit="1" customWidth="1"/>
  </cols>
  <sheetData>
    <row r="1" spans="1:14" x14ac:dyDescent="0.25">
      <c r="A1" t="str">
        <f>DATA!B1</f>
        <v>Example Manufacturing Company</v>
      </c>
    </row>
    <row r="2" spans="1:14" x14ac:dyDescent="0.25">
      <c r="A2" t="s">
        <v>63</v>
      </c>
    </row>
    <row r="3" spans="1:14" x14ac:dyDescent="0.25">
      <c r="A3" t="s">
        <v>64</v>
      </c>
    </row>
    <row r="5" spans="1:14" x14ac:dyDescent="0.25">
      <c r="A5" t="s">
        <v>17</v>
      </c>
      <c r="B5">
        <v>1</v>
      </c>
      <c r="C5">
        <v>2</v>
      </c>
      <c r="D5">
        <v>3</v>
      </c>
      <c r="E5">
        <v>4</v>
      </c>
      <c r="F5">
        <v>5</v>
      </c>
      <c r="G5">
        <v>6</v>
      </c>
      <c r="H5">
        <v>7</v>
      </c>
      <c r="I5">
        <v>8</v>
      </c>
      <c r="J5">
        <v>9</v>
      </c>
      <c r="K5">
        <v>10</v>
      </c>
      <c r="L5">
        <v>11</v>
      </c>
      <c r="M5">
        <v>12</v>
      </c>
      <c r="N5" s="4" t="s">
        <v>64</v>
      </c>
    </row>
    <row r="6" spans="1:14" x14ac:dyDescent="0.25">
      <c r="A6" s="4" t="s">
        <v>65</v>
      </c>
    </row>
    <row r="7" spans="1:14" x14ac:dyDescent="0.25">
      <c r="A7" t="str">
        <f>SUBSTITUTE(DATA!A26,"Days to Get Paid","",1)</f>
        <v>Sales</v>
      </c>
      <c r="B7" s="6">
        <f>DATA!B85</f>
        <v>0</v>
      </c>
      <c r="C7" s="6">
        <f>DATA!C85</f>
        <v>0</v>
      </c>
      <c r="D7" s="6">
        <f>DATA!D85</f>
        <v>0</v>
      </c>
      <c r="E7" s="6">
        <f>DATA!E85</f>
        <v>756420.07840485335</v>
      </c>
      <c r="F7" s="6">
        <f>DATA!F85</f>
        <v>766044.39537458599</v>
      </c>
      <c r="G7" s="6">
        <f>DATA!G85</f>
        <v>775849.20411156677</v>
      </c>
      <c r="H7" s="6">
        <f>DATA!H85</f>
        <v>785840.58798750117</v>
      </c>
      <c r="I7" s="6">
        <f>DATA!I85</f>
        <v>796024.93492217374</v>
      </c>
      <c r="J7" s="6">
        <f>DATA!J85</f>
        <v>806408.95501284103</v>
      </c>
      <c r="K7" s="6">
        <f>DATA!K85</f>
        <v>816999.69923071284</v>
      </c>
      <c r="L7" s="6">
        <f>DATA!L85</f>
        <v>827804.57925013825</v>
      </c>
      <c r="M7" s="6">
        <f>DATA!M85</f>
        <v>838831.38848018786</v>
      </c>
      <c r="N7" s="7">
        <f>SUM(B7:M7)</f>
        <v>7170223.8227745611</v>
      </c>
    </row>
    <row r="8" spans="1:14" x14ac:dyDescent="0.25">
      <c r="A8" s="4" t="s">
        <v>66</v>
      </c>
      <c r="B8" s="9">
        <f t="shared" ref="B8:M8" si="0">SUM(B7:B7)</f>
        <v>0</v>
      </c>
      <c r="C8" s="9">
        <f t="shared" si="0"/>
        <v>0</v>
      </c>
      <c r="D8" s="9">
        <f t="shared" si="0"/>
        <v>0</v>
      </c>
      <c r="E8" s="9">
        <f t="shared" si="0"/>
        <v>756420.07840485335</v>
      </c>
      <c r="F8" s="9">
        <f t="shared" si="0"/>
        <v>766044.39537458599</v>
      </c>
      <c r="G8" s="9">
        <f t="shared" si="0"/>
        <v>775849.20411156677</v>
      </c>
      <c r="H8" s="9">
        <f t="shared" si="0"/>
        <v>785840.58798750117</v>
      </c>
      <c r="I8" s="9">
        <f t="shared" si="0"/>
        <v>796024.93492217374</v>
      </c>
      <c r="J8" s="9">
        <f t="shared" si="0"/>
        <v>806408.95501284103</v>
      </c>
      <c r="K8" s="9">
        <f t="shared" si="0"/>
        <v>816999.69923071284</v>
      </c>
      <c r="L8" s="9">
        <f t="shared" si="0"/>
        <v>827804.57925013825</v>
      </c>
      <c r="M8" s="9">
        <f t="shared" si="0"/>
        <v>838831.38848018786</v>
      </c>
      <c r="N8" s="9">
        <f>SUM(B8:M8)</f>
        <v>7170223.8227745611</v>
      </c>
    </row>
    <row r="10" spans="1:14" x14ac:dyDescent="0.25">
      <c r="A10" t="s">
        <v>67</v>
      </c>
      <c r="B10" s="6">
        <f>DATA!B80</f>
        <v>0</v>
      </c>
      <c r="C10" s="6">
        <f>DATA!C80</f>
        <v>0</v>
      </c>
      <c r="D10" s="6">
        <f>DATA!D80</f>
        <v>0</v>
      </c>
      <c r="E10" s="6">
        <f>DATA!E80</f>
        <v>314626.7243854978</v>
      </c>
      <c r="F10" s="6">
        <f>DATA!F80</f>
        <v>315415.11300692748</v>
      </c>
      <c r="G10" s="6">
        <f>DATA!G80</f>
        <v>316229.46193409886</v>
      </c>
      <c r="H10" s="6">
        <f>DATA!H80</f>
        <v>317070.89215669123</v>
      </c>
      <c r="I10" s="6">
        <f>DATA!I80</f>
        <v>317940.57855581888</v>
      </c>
      <c r="J10" s="6">
        <f>DATA!J80</f>
        <v>318839.75257932651</v>
      </c>
      <c r="K10" s="6">
        <f>DATA!K80</f>
        <v>319769.70505146979</v>
      </c>
      <c r="L10" s="6">
        <f>DATA!L80</f>
        <v>320731.78912377695</v>
      </c>
      <c r="M10" s="6">
        <f>DATA!M80</f>
        <v>321727.42337423359</v>
      </c>
      <c r="N10" s="7">
        <f>SUM(B10:M10)</f>
        <v>2862351.440167841</v>
      </c>
    </row>
    <row r="11" spans="1:14" x14ac:dyDescent="0.25">
      <c r="A11" t="s">
        <v>68</v>
      </c>
      <c r="B11" s="6">
        <f>DATA!B81</f>
        <v>0</v>
      </c>
      <c r="C11" s="6">
        <f>DATA!C81</f>
        <v>0</v>
      </c>
      <c r="D11" s="6">
        <f>DATA!D81</f>
        <v>0</v>
      </c>
      <c r="E11" s="6">
        <f>DATA!E81</f>
        <v>16580.184638621115</v>
      </c>
      <c r="F11" s="6">
        <f>DATA!F81</f>
        <v>16621.205585524356</v>
      </c>
      <c r="G11" s="6">
        <f>DATA!G81</f>
        <v>16663.544223152647</v>
      </c>
      <c r="H11" s="6">
        <f>DATA!H81</f>
        <v>16707.258544066921</v>
      </c>
      <c r="I11" s="6">
        <f>DATA!I81</f>
        <v>16752.409380718054</v>
      </c>
      <c r="J11" s="6">
        <f>DATA!J81</f>
        <v>16799.060548259207</v>
      </c>
      <c r="K11" s="6">
        <f>DATA!K81</f>
        <v>16847.278994599423</v>
      </c>
      <c r="L11" s="6">
        <f>DATA!L81</f>
        <v>16897.134958067334</v>
      </c>
      <c r="M11" s="6">
        <f>DATA!M81</f>
        <v>16948.702133072722</v>
      </c>
      <c r="N11" s="7">
        <f>SUM(B11:M11)</f>
        <v>150816.77900608175</v>
      </c>
    </row>
    <row r="12" spans="1:14" x14ac:dyDescent="0.25">
      <c r="A12" s="4" t="s">
        <v>69</v>
      </c>
      <c r="B12" s="9">
        <f t="shared" ref="B12:M12" si="1">SUM(B10:B11)</f>
        <v>0</v>
      </c>
      <c r="C12" s="9">
        <f t="shared" si="1"/>
        <v>0</v>
      </c>
      <c r="D12" s="9">
        <f t="shared" si="1"/>
        <v>0</v>
      </c>
      <c r="E12" s="9">
        <f t="shared" si="1"/>
        <v>331206.90902411891</v>
      </c>
      <c r="F12" s="9">
        <f t="shared" si="1"/>
        <v>332036.31859245186</v>
      </c>
      <c r="G12" s="9">
        <f t="shared" si="1"/>
        <v>332893.00615725148</v>
      </c>
      <c r="H12" s="9">
        <f t="shared" si="1"/>
        <v>333778.15070075815</v>
      </c>
      <c r="I12" s="9">
        <f t="shared" si="1"/>
        <v>334692.98793653696</v>
      </c>
      <c r="J12" s="9">
        <f t="shared" si="1"/>
        <v>335638.81312758569</v>
      </c>
      <c r="K12" s="9">
        <f t="shared" si="1"/>
        <v>336616.98404606921</v>
      </c>
      <c r="L12" s="9">
        <f t="shared" si="1"/>
        <v>337628.92408184428</v>
      </c>
      <c r="M12" s="9">
        <f t="shared" si="1"/>
        <v>338676.12550730631</v>
      </c>
      <c r="N12" s="9">
        <f>SUM(B12:M12)</f>
        <v>3013168.2191739231</v>
      </c>
    </row>
    <row r="14" spans="1:14" x14ac:dyDescent="0.25">
      <c r="A14" s="4" t="s">
        <v>70</v>
      </c>
      <c r="B14" s="10">
        <f t="shared" ref="B14:M14" si="2">B8-B12</f>
        <v>0</v>
      </c>
      <c r="C14" s="10">
        <f t="shared" si="2"/>
        <v>0</v>
      </c>
      <c r="D14" s="10">
        <f t="shared" si="2"/>
        <v>0</v>
      </c>
      <c r="E14" s="10">
        <f t="shared" si="2"/>
        <v>425213.16938073444</v>
      </c>
      <c r="F14" s="10">
        <f t="shared" si="2"/>
        <v>434008.07678213413</v>
      </c>
      <c r="G14" s="10">
        <f t="shared" si="2"/>
        <v>442956.19795431528</v>
      </c>
      <c r="H14" s="10">
        <f t="shared" si="2"/>
        <v>452062.43728674302</v>
      </c>
      <c r="I14" s="10">
        <f t="shared" si="2"/>
        <v>461331.94698563678</v>
      </c>
      <c r="J14" s="10">
        <f t="shared" si="2"/>
        <v>470770.14188525535</v>
      </c>
      <c r="K14" s="10">
        <f t="shared" si="2"/>
        <v>480382.71518464363</v>
      </c>
      <c r="L14" s="10">
        <f t="shared" si="2"/>
        <v>490175.65516829398</v>
      </c>
      <c r="M14" s="10">
        <f t="shared" si="2"/>
        <v>500155.26297288155</v>
      </c>
      <c r="N14" s="10">
        <f>SUM(B14:M14)</f>
        <v>4157055.6036006385</v>
      </c>
    </row>
    <row r="15" spans="1:14" x14ac:dyDescent="0.25">
      <c r="A15" t="s">
        <v>71</v>
      </c>
      <c r="B15" s="2">
        <f t="shared" ref="B15:N15" si="3">IF(B8=0,0,B14/B8)</f>
        <v>0</v>
      </c>
      <c r="C15" s="2">
        <f t="shared" si="3"/>
        <v>0</v>
      </c>
      <c r="D15" s="2">
        <f t="shared" si="3"/>
        <v>0</v>
      </c>
      <c r="E15" s="2">
        <f t="shared" si="3"/>
        <v>0.56213892454762504</v>
      </c>
      <c r="F15" s="2">
        <f t="shared" si="3"/>
        <v>0.56655734237166466</v>
      </c>
      <c r="G15" s="2">
        <f t="shared" si="3"/>
        <v>0.57093078862090108</v>
      </c>
      <c r="H15" s="2">
        <f t="shared" si="3"/>
        <v>0.57525972086075694</v>
      </c>
      <c r="I15" s="2">
        <f t="shared" si="3"/>
        <v>0.57954459307325668</v>
      </c>
      <c r="J15" s="2">
        <f t="shared" si="3"/>
        <v>0.58378585574828956</v>
      </c>
      <c r="K15" s="2">
        <f t="shared" si="3"/>
        <v>0.58798395597571473</v>
      </c>
      <c r="L15" s="2">
        <f t="shared" si="3"/>
        <v>0.59213933753823467</v>
      </c>
      <c r="M15" s="2">
        <f t="shared" si="3"/>
        <v>0.59625244100494768</v>
      </c>
      <c r="N15" s="11">
        <f t="shared" si="3"/>
        <v>0.57976650469357882</v>
      </c>
    </row>
    <row r="17" spans="1:14" x14ac:dyDescent="0.25">
      <c r="A17" s="4" t="s">
        <v>19</v>
      </c>
    </row>
    <row r="18" spans="1:14" x14ac:dyDescent="0.25">
      <c r="A18" t="str">
        <f>DATA!A43</f>
        <v>Professional, Accounting and Legal</v>
      </c>
      <c r="B18" s="6">
        <f>DATA!B43</f>
        <v>1000</v>
      </c>
      <c r="C18" s="6">
        <f>DATA!C43</f>
        <v>1000</v>
      </c>
      <c r="D18" s="6">
        <f>DATA!D43</f>
        <v>1000</v>
      </c>
      <c r="E18" s="6">
        <f>DATA!E43</f>
        <v>27474.70274416987</v>
      </c>
      <c r="F18" s="6">
        <f>DATA!F43</f>
        <v>27811.553838110511</v>
      </c>
      <c r="G18" s="6">
        <f>DATA!G43</f>
        <v>28154.722143904841</v>
      </c>
      <c r="H18" s="6">
        <f>DATA!H43</f>
        <v>28504.420579562542</v>
      </c>
      <c r="I18" s="6">
        <f>DATA!I43</f>
        <v>28860.872722276083</v>
      </c>
      <c r="J18" s="6">
        <f>DATA!J43</f>
        <v>29224.31342544944</v>
      </c>
      <c r="K18" s="6">
        <f>DATA!K43</f>
        <v>29594.989473074951</v>
      </c>
      <c r="L18" s="6">
        <f>DATA!L43</f>
        <v>29973.160273754842</v>
      </c>
      <c r="M18" s="6">
        <f>DATA!M43</f>
        <v>30359.098596806576</v>
      </c>
      <c r="N18" s="7">
        <f t="shared" ref="N18:N32" si="4">SUM(B18:M18)</f>
        <v>262957.83379710966</v>
      </c>
    </row>
    <row r="19" spans="1:14" x14ac:dyDescent="0.25">
      <c r="A19" t="str">
        <f>DATA!A45</f>
        <v>Marketing &amp; Advertising</v>
      </c>
      <c r="B19" s="6">
        <f>DATA!B45</f>
        <v>0</v>
      </c>
      <c r="C19" s="6">
        <f>DATA!C45</f>
        <v>0</v>
      </c>
      <c r="D19" s="6">
        <f>DATA!D45</f>
        <v>0</v>
      </c>
      <c r="E19" s="6">
        <f>DATA!E45</f>
        <v>10000</v>
      </c>
      <c r="F19" s="6">
        <f>DATA!F45</f>
        <v>10100</v>
      </c>
      <c r="G19" s="6">
        <f>DATA!G45</f>
        <v>10201</v>
      </c>
      <c r="H19" s="6">
        <f>DATA!H45</f>
        <v>10303.01</v>
      </c>
      <c r="I19" s="6">
        <f>DATA!I45</f>
        <v>10406.0401</v>
      </c>
      <c r="J19" s="6">
        <f>DATA!J45</f>
        <v>10510.100501000001</v>
      </c>
      <c r="K19" s="6">
        <f>DATA!K45</f>
        <v>10615.20150601</v>
      </c>
      <c r="L19" s="6">
        <f>DATA!L45</f>
        <v>10721.353521070101</v>
      </c>
      <c r="M19" s="6">
        <f>DATA!M45</f>
        <v>10828.567056280803</v>
      </c>
      <c r="N19" s="7">
        <f t="shared" si="4"/>
        <v>93685.272684360898</v>
      </c>
    </row>
    <row r="20" spans="1:14" x14ac:dyDescent="0.25">
      <c r="A20" t="str">
        <f>DATA!A46</f>
        <v>Contingency Expense</v>
      </c>
      <c r="B20" s="6">
        <f>DATA!B46</f>
        <v>0</v>
      </c>
      <c r="C20" s="6">
        <f>DATA!C46</f>
        <v>0</v>
      </c>
      <c r="D20" s="6">
        <f>DATA!D46</f>
        <v>0</v>
      </c>
      <c r="E20" s="6">
        <f>DATA!E46</f>
        <v>75642.007840485341</v>
      </c>
      <c r="F20" s="6">
        <f>DATA!F46</f>
        <v>76604.439537458602</v>
      </c>
      <c r="G20" s="6">
        <f>DATA!G46</f>
        <v>77584.92041115668</v>
      </c>
      <c r="H20" s="6">
        <f>DATA!H46</f>
        <v>78584.05879875012</v>
      </c>
      <c r="I20" s="6">
        <f>DATA!I46</f>
        <v>79602.493492217385</v>
      </c>
      <c r="J20" s="6">
        <f>DATA!J46</f>
        <v>80640.895501284103</v>
      </c>
      <c r="K20" s="6">
        <f>DATA!K46</f>
        <v>81699.969923071287</v>
      </c>
      <c r="L20" s="6">
        <f>DATA!L46</f>
        <v>82780.457925013834</v>
      </c>
      <c r="M20" s="6">
        <f>DATA!M46</f>
        <v>83883.138848018789</v>
      </c>
      <c r="N20" s="7">
        <f t="shared" si="4"/>
        <v>717022.38227745623</v>
      </c>
    </row>
    <row r="21" spans="1:14" x14ac:dyDescent="0.25">
      <c r="A21" t="str">
        <f>DATA!A48</f>
        <v>Business Insurance</v>
      </c>
      <c r="B21" s="6">
        <f>DATA!B48</f>
        <v>1000</v>
      </c>
      <c r="C21" s="6">
        <f>DATA!C48</f>
        <v>1000</v>
      </c>
      <c r="D21" s="6">
        <f>DATA!D48</f>
        <v>1000</v>
      </c>
      <c r="E21" s="6">
        <f>DATA!E48</f>
        <v>4025.6803136194135</v>
      </c>
      <c r="F21" s="6">
        <f>DATA!F48</f>
        <v>4064.1775814983439</v>
      </c>
      <c r="G21" s="6">
        <f>DATA!G48</f>
        <v>4103.3968164462676</v>
      </c>
      <c r="H21" s="6">
        <f>DATA!H48</f>
        <v>4143.3623519500052</v>
      </c>
      <c r="I21" s="6">
        <f>DATA!I48</f>
        <v>4184.0997396886951</v>
      </c>
      <c r="J21" s="6">
        <f>DATA!J48</f>
        <v>4225.6358200513641</v>
      </c>
      <c r="K21" s="6">
        <f>DATA!K48</f>
        <v>4267.9987969228514</v>
      </c>
      <c r="L21" s="6">
        <f>DATA!L48</f>
        <v>4311.2183170005537</v>
      </c>
      <c r="M21" s="6">
        <f>DATA!M48</f>
        <v>4355.3255539207512</v>
      </c>
      <c r="N21" s="7">
        <f t="shared" si="4"/>
        <v>40680.895291098248</v>
      </c>
    </row>
    <row r="22" spans="1:14" x14ac:dyDescent="0.25">
      <c r="A22" t="str">
        <f>DATA!A50</f>
        <v>Maintenance and Repairs</v>
      </c>
      <c r="B22" s="6">
        <f>DATA!B50</f>
        <v>0</v>
      </c>
      <c r="C22" s="6">
        <f>DATA!C50</f>
        <v>0</v>
      </c>
      <c r="D22" s="6">
        <f>DATA!D50</f>
        <v>0</v>
      </c>
      <c r="E22" s="6">
        <f>DATA!E50</f>
        <v>4538.52047042912</v>
      </c>
      <c r="F22" s="6">
        <f>DATA!F50</f>
        <v>4596.2663722475163</v>
      </c>
      <c r="G22" s="6">
        <f>DATA!G50</f>
        <v>4655.0952246694005</v>
      </c>
      <c r="H22" s="6">
        <f>DATA!H50</f>
        <v>4715.0435279250069</v>
      </c>
      <c r="I22" s="6">
        <f>DATA!I50</f>
        <v>4776.1496095330422</v>
      </c>
      <c r="J22" s="6">
        <f>DATA!J50</f>
        <v>4838.4537300770462</v>
      </c>
      <c r="K22" s="6">
        <f>DATA!K50</f>
        <v>4901.9981953842771</v>
      </c>
      <c r="L22" s="6">
        <f>DATA!L50</f>
        <v>4966.8274755008297</v>
      </c>
      <c r="M22" s="6">
        <f>DATA!M50</f>
        <v>5032.9883308811277</v>
      </c>
      <c r="N22" s="7">
        <f t="shared" si="4"/>
        <v>43021.342936647372</v>
      </c>
    </row>
    <row r="23" spans="1:14" x14ac:dyDescent="0.25">
      <c r="A23" t="str">
        <f>DATA!A52</f>
        <v>Office Supplies</v>
      </c>
      <c r="B23" s="6">
        <f>DATA!B52</f>
        <v>500</v>
      </c>
      <c r="C23" s="6">
        <f>DATA!C52</f>
        <v>515</v>
      </c>
      <c r="D23" s="6">
        <f>DATA!D52</f>
        <v>530.45000000000005</v>
      </c>
      <c r="E23" s="6">
        <f>DATA!E52</f>
        <v>546.36350000000004</v>
      </c>
      <c r="F23" s="6">
        <f>DATA!F52</f>
        <v>562.75440500000002</v>
      </c>
      <c r="G23" s="6">
        <f>DATA!G52</f>
        <v>579.63703715000008</v>
      </c>
      <c r="H23" s="6">
        <f>DATA!H52</f>
        <v>597.02614826450008</v>
      </c>
      <c r="I23" s="6">
        <f>DATA!I52</f>
        <v>614.93693271243512</v>
      </c>
      <c r="J23" s="6">
        <f>DATA!J52</f>
        <v>633.38504069380815</v>
      </c>
      <c r="K23" s="6">
        <f>DATA!K52</f>
        <v>652.38659191462239</v>
      </c>
      <c r="L23" s="6">
        <f>DATA!L52</f>
        <v>671.95818967206105</v>
      </c>
      <c r="M23" s="6">
        <f>DATA!M52</f>
        <v>692.11693536222288</v>
      </c>
      <c r="N23" s="7">
        <f t="shared" si="4"/>
        <v>7096.0147807696503</v>
      </c>
    </row>
    <row r="24" spans="1:14" x14ac:dyDescent="0.25">
      <c r="A24" t="str">
        <f>DATA!A54</f>
        <v>Meals/Gifts/Entertainment</v>
      </c>
      <c r="B24" s="6">
        <f>DATA!B54</f>
        <v>1500</v>
      </c>
      <c r="C24" s="6">
        <f>DATA!C54</f>
        <v>1545</v>
      </c>
      <c r="D24" s="6">
        <f>DATA!D54</f>
        <v>1591.3500000000001</v>
      </c>
      <c r="E24" s="6">
        <f>DATA!E54</f>
        <v>1639.0905000000002</v>
      </c>
      <c r="F24" s="6">
        <f>DATA!F54</f>
        <v>1688.2632150000004</v>
      </c>
      <c r="G24" s="6">
        <f>DATA!G54</f>
        <v>1738.9111114500004</v>
      </c>
      <c r="H24" s="6">
        <f>DATA!H54</f>
        <v>1791.0784447935005</v>
      </c>
      <c r="I24" s="6">
        <f>DATA!I54</f>
        <v>1844.8107981373055</v>
      </c>
      <c r="J24" s="6">
        <f>DATA!J54</f>
        <v>1900.1551220814247</v>
      </c>
      <c r="K24" s="6">
        <f>DATA!K54</f>
        <v>1957.1597757438674</v>
      </c>
      <c r="L24" s="6">
        <f>DATA!L54</f>
        <v>2015.8745690161834</v>
      </c>
      <c r="M24" s="6">
        <f>DATA!M54</f>
        <v>2076.3508060866689</v>
      </c>
      <c r="N24" s="7">
        <f t="shared" si="4"/>
        <v>21288.044342308956</v>
      </c>
    </row>
    <row r="25" spans="1:14" x14ac:dyDescent="0.25">
      <c r="A25" t="str">
        <f>DATA!A56</f>
        <v>Research and Development</v>
      </c>
      <c r="B25" s="6">
        <f>DATA!B56</f>
        <v>23333.333333333332</v>
      </c>
      <c r="C25" s="6">
        <f>DATA!C56</f>
        <v>23333.333333333332</v>
      </c>
      <c r="D25" s="6">
        <f>DATA!D56</f>
        <v>23333.333333333332</v>
      </c>
      <c r="E25" s="6">
        <f>DATA!E56</f>
        <v>75642.007840485341</v>
      </c>
      <c r="F25" s="6">
        <f>DATA!F56</f>
        <v>76604.439537458602</v>
      </c>
      <c r="G25" s="6">
        <f>DATA!G56</f>
        <v>77584.92041115668</v>
      </c>
      <c r="H25" s="6">
        <f>DATA!H56</f>
        <v>78584.05879875012</v>
      </c>
      <c r="I25" s="6">
        <f>DATA!I56</f>
        <v>79602.493492217385</v>
      </c>
      <c r="J25" s="6">
        <f>DATA!J56</f>
        <v>80640.895501284103</v>
      </c>
      <c r="K25" s="6">
        <f>DATA!K56</f>
        <v>81699.969923071287</v>
      </c>
      <c r="L25" s="6">
        <f>DATA!L56</f>
        <v>82780.457925013834</v>
      </c>
      <c r="M25" s="6">
        <f>DATA!M56</f>
        <v>83883.138848018789</v>
      </c>
      <c r="N25" s="7">
        <f t="shared" si="4"/>
        <v>787022.38227745623</v>
      </c>
    </row>
    <row r="26" spans="1:14" x14ac:dyDescent="0.25">
      <c r="A26" t="str">
        <f>DATA!A58</f>
        <v>Salaries and Wages</v>
      </c>
      <c r="B26" s="6">
        <f>DATA!B58</f>
        <v>46166.666666666664</v>
      </c>
      <c r="C26" s="6">
        <f>DATA!C58</f>
        <v>57966.666666666664</v>
      </c>
      <c r="D26" s="6">
        <f>DATA!D58</f>
        <v>80666.666666666672</v>
      </c>
      <c r="E26" s="6">
        <f>DATA!E58</f>
        <v>101316.66666666667</v>
      </c>
      <c r="F26" s="6">
        <f>DATA!F58</f>
        <v>101316.66666666667</v>
      </c>
      <c r="G26" s="6">
        <f>DATA!G58</f>
        <v>101316.66666666667</v>
      </c>
      <c r="H26" s="6">
        <f>DATA!H58</f>
        <v>112133.33333333334</v>
      </c>
      <c r="I26" s="6">
        <f>DATA!I58</f>
        <v>112133.33333333334</v>
      </c>
      <c r="J26" s="6">
        <f>DATA!J58</f>
        <v>112133.33333333334</v>
      </c>
      <c r="K26" s="6">
        <f>DATA!K58</f>
        <v>112133.33333333334</v>
      </c>
      <c r="L26" s="6">
        <f>DATA!L58</f>
        <v>112133.33333333334</v>
      </c>
      <c r="M26" s="6">
        <f>DATA!M58</f>
        <v>112133.33333333334</v>
      </c>
      <c r="N26" s="7">
        <f t="shared" si="4"/>
        <v>1161550</v>
      </c>
    </row>
    <row r="27" spans="1:14" x14ac:dyDescent="0.25">
      <c r="A27" t="str">
        <f>DATA!A59</f>
        <v>Taxes and Licenses</v>
      </c>
      <c r="B27" s="6">
        <f>DATA!B59</f>
        <v>1000</v>
      </c>
      <c r="C27" s="6">
        <f>DATA!C59</f>
        <v>1010</v>
      </c>
      <c r="D27" s="6">
        <f>DATA!D59</f>
        <v>1020.1</v>
      </c>
      <c r="E27" s="6">
        <f>DATA!E59</f>
        <v>1030.3009999999999</v>
      </c>
      <c r="F27" s="6">
        <f>DATA!F59</f>
        <v>1040.60401</v>
      </c>
      <c r="G27" s="6">
        <f>DATA!G59</f>
        <v>1051.0100500999999</v>
      </c>
      <c r="H27" s="6">
        <f>DATA!H59</f>
        <v>1061.5201506009998</v>
      </c>
      <c r="I27" s="6">
        <f>DATA!I59</f>
        <v>1072.1353521070098</v>
      </c>
      <c r="J27" s="6">
        <f>DATA!J59</f>
        <v>1082.8567056280799</v>
      </c>
      <c r="K27" s="6">
        <f>DATA!K59</f>
        <v>1093.6852726843608</v>
      </c>
      <c r="L27" s="6">
        <f>DATA!L59</f>
        <v>1104.6221254112045</v>
      </c>
      <c r="M27" s="6">
        <f>DATA!M59</f>
        <v>1115.6683466653164</v>
      </c>
      <c r="N27" s="7">
        <f t="shared" si="4"/>
        <v>12682.503013196971</v>
      </c>
    </row>
    <row r="28" spans="1:14" x14ac:dyDescent="0.25">
      <c r="A28" t="str">
        <f>DATA!A61</f>
        <v>Telephone &amp; Internet</v>
      </c>
      <c r="B28" s="6">
        <f>DATA!B61</f>
        <v>500</v>
      </c>
      <c r="C28" s="6">
        <f>DATA!C61</f>
        <v>505</v>
      </c>
      <c r="D28" s="6">
        <f>DATA!D61</f>
        <v>510.05</v>
      </c>
      <c r="E28" s="6">
        <f>DATA!E61</f>
        <v>515.15049999999997</v>
      </c>
      <c r="F28" s="6">
        <f>DATA!F61</f>
        <v>520.30200500000001</v>
      </c>
      <c r="G28" s="6">
        <f>DATA!G61</f>
        <v>525.50502504999997</v>
      </c>
      <c r="H28" s="6">
        <f>DATA!H61</f>
        <v>530.76007530049992</v>
      </c>
      <c r="I28" s="6">
        <f>DATA!I61</f>
        <v>536.0676760535049</v>
      </c>
      <c r="J28" s="6">
        <f>DATA!J61</f>
        <v>541.42835281403995</v>
      </c>
      <c r="K28" s="6">
        <f>DATA!K61</f>
        <v>546.84263634218041</v>
      </c>
      <c r="L28" s="6">
        <f>DATA!L61</f>
        <v>552.31106270560224</v>
      </c>
      <c r="M28" s="6">
        <f>DATA!M61</f>
        <v>557.83417333265822</v>
      </c>
      <c r="N28" s="7">
        <f t="shared" si="4"/>
        <v>6341.2515065984853</v>
      </c>
    </row>
    <row r="29" spans="1:14" x14ac:dyDescent="0.25">
      <c r="A29" t="s">
        <v>72</v>
      </c>
      <c r="B29" s="6">
        <f>LoanModule!D9</f>
        <v>0</v>
      </c>
      <c r="C29" s="6">
        <f>LoanModule!D10</f>
        <v>0</v>
      </c>
      <c r="D29" s="6">
        <f>LoanModule!D11</f>
        <v>0</v>
      </c>
      <c r="E29" s="6">
        <f>LoanModule!D12</f>
        <v>0</v>
      </c>
      <c r="F29" s="6">
        <f>LoanModule!D13</f>
        <v>0</v>
      </c>
      <c r="G29" s="6">
        <f>LoanModule!D14</f>
        <v>0</v>
      </c>
      <c r="H29" s="6">
        <f>LoanModule!D15</f>
        <v>0</v>
      </c>
      <c r="I29" s="6">
        <f>LoanModule!D16</f>
        <v>0</v>
      </c>
      <c r="J29" s="6">
        <f>LoanModule!D17</f>
        <v>0</v>
      </c>
      <c r="K29" s="6">
        <f>LoanModule!D18</f>
        <v>0</v>
      </c>
      <c r="L29" s="6">
        <f>LoanModule!D19</f>
        <v>0</v>
      </c>
      <c r="M29" s="6">
        <f>LoanModule!D20</f>
        <v>0</v>
      </c>
      <c r="N29" s="7">
        <f t="shared" si="4"/>
        <v>0</v>
      </c>
    </row>
    <row r="30" spans="1:14" x14ac:dyDescent="0.25">
      <c r="A30" t="s">
        <v>73</v>
      </c>
      <c r="B30" s="6">
        <f>DATA!B74*DATA!B79</f>
        <v>0</v>
      </c>
      <c r="C30" s="6">
        <f>DATA!B74*DATA!C79</f>
        <v>0</v>
      </c>
      <c r="D30" s="6">
        <f>DATA!B74*DATA!D79</f>
        <v>0</v>
      </c>
      <c r="E30" s="6">
        <f>DATA!B74*DATA!E79</f>
        <v>0</v>
      </c>
      <c r="F30" s="6">
        <f>DATA!B74*DATA!F79</f>
        <v>0</v>
      </c>
      <c r="G30" s="6">
        <f>DATA!B74*DATA!G79</f>
        <v>0</v>
      </c>
      <c r="H30" s="6">
        <f>DATA!B74*DATA!H79</f>
        <v>0</v>
      </c>
      <c r="I30" s="6">
        <f>DATA!B74*DATA!I79</f>
        <v>0</v>
      </c>
      <c r="J30" s="6">
        <f>DATA!B74*DATA!J79</f>
        <v>0</v>
      </c>
      <c r="K30" s="6">
        <f>DATA!B74*DATA!K79</f>
        <v>0</v>
      </c>
      <c r="L30" s="6">
        <f>DATA!B74*DATA!L79</f>
        <v>0</v>
      </c>
      <c r="M30" s="6">
        <f>DATA!B74*DATA!M79</f>
        <v>0</v>
      </c>
      <c r="N30" s="7">
        <f t="shared" si="4"/>
        <v>0</v>
      </c>
    </row>
    <row r="31" spans="1:14" x14ac:dyDescent="0.25">
      <c r="A31" t="s">
        <v>74</v>
      </c>
      <c r="B31" s="6">
        <f>DATA!B83</f>
        <v>1994.0476190476188</v>
      </c>
      <c r="C31" s="6">
        <f>DATA!C83</f>
        <v>1994.0476190476188</v>
      </c>
      <c r="D31" s="6">
        <f>DATA!D83</f>
        <v>1994.0476190476188</v>
      </c>
      <c r="E31" s="6">
        <f>DATA!E83</f>
        <v>1994.0476190476188</v>
      </c>
      <c r="F31" s="6">
        <f>DATA!F83</f>
        <v>1994.0476190476188</v>
      </c>
      <c r="G31" s="6">
        <f>DATA!G83</f>
        <v>1994.0476190476188</v>
      </c>
      <c r="H31" s="6">
        <f>DATA!H83</f>
        <v>1994.0476190476188</v>
      </c>
      <c r="I31" s="6">
        <f>DATA!I83</f>
        <v>1994.0476190476188</v>
      </c>
      <c r="J31" s="6">
        <f>DATA!J83</f>
        <v>1994.0476190476188</v>
      </c>
      <c r="K31" s="6">
        <f>DATA!K83</f>
        <v>1994.0476190476188</v>
      </c>
      <c r="L31" s="6">
        <f>DATA!L83</f>
        <v>1994.0476190476188</v>
      </c>
      <c r="M31" s="6">
        <f>DATA!M83</f>
        <v>1994.0476190476188</v>
      </c>
      <c r="N31" s="7">
        <f t="shared" si="4"/>
        <v>23928.571428571424</v>
      </c>
    </row>
    <row r="32" spans="1:14" x14ac:dyDescent="0.25">
      <c r="A32" s="4" t="s">
        <v>75</v>
      </c>
      <c r="B32" s="8">
        <f t="shared" ref="B32:M32" si="5">SUM(B18:B31)</f>
        <v>76994.047619047618</v>
      </c>
      <c r="C32" s="8">
        <f t="shared" si="5"/>
        <v>88869.047619047618</v>
      </c>
      <c r="D32" s="8">
        <f t="shared" si="5"/>
        <v>111645.99761904763</v>
      </c>
      <c r="E32" s="8">
        <f t="shared" si="5"/>
        <v>304364.53899490339</v>
      </c>
      <c r="F32" s="8">
        <f t="shared" si="5"/>
        <v>306903.51478748792</v>
      </c>
      <c r="G32" s="8">
        <f t="shared" si="5"/>
        <v>309489.83251679817</v>
      </c>
      <c r="H32" s="8">
        <f t="shared" si="5"/>
        <v>322941.71982827829</v>
      </c>
      <c r="I32" s="8">
        <f t="shared" si="5"/>
        <v>325627.48086732376</v>
      </c>
      <c r="J32" s="8">
        <f t="shared" si="5"/>
        <v>328365.50065274443</v>
      </c>
      <c r="K32" s="8">
        <f t="shared" si="5"/>
        <v>331157.58304660069</v>
      </c>
      <c r="L32" s="8">
        <f t="shared" si="5"/>
        <v>334005.62233654002</v>
      </c>
      <c r="M32" s="8">
        <f t="shared" si="5"/>
        <v>336911.6084477547</v>
      </c>
      <c r="N32" s="8">
        <f t="shared" si="4"/>
        <v>3177276.4943355741</v>
      </c>
    </row>
    <row r="34" spans="1:14" x14ac:dyDescent="0.25">
      <c r="A34" s="4" t="s">
        <v>76</v>
      </c>
      <c r="B34" s="10">
        <f t="shared" ref="B34:M34" si="6">B14-B32</f>
        <v>-76994.047619047618</v>
      </c>
      <c r="C34" s="10">
        <f t="shared" si="6"/>
        <v>-88869.047619047618</v>
      </c>
      <c r="D34" s="10">
        <f t="shared" si="6"/>
        <v>-111645.99761904763</v>
      </c>
      <c r="E34" s="10">
        <f t="shared" si="6"/>
        <v>120848.63038583106</v>
      </c>
      <c r="F34" s="10">
        <f t="shared" si="6"/>
        <v>127104.56199464621</v>
      </c>
      <c r="G34" s="10">
        <f t="shared" si="6"/>
        <v>133466.36543751712</v>
      </c>
      <c r="H34" s="10">
        <f t="shared" si="6"/>
        <v>129120.71745846473</v>
      </c>
      <c r="I34" s="10">
        <f t="shared" si="6"/>
        <v>135704.46611831302</v>
      </c>
      <c r="J34" s="10">
        <f t="shared" si="6"/>
        <v>142404.64123251091</v>
      </c>
      <c r="K34" s="10">
        <f t="shared" si="6"/>
        <v>149225.13213804294</v>
      </c>
      <c r="L34" s="10">
        <f t="shared" si="6"/>
        <v>156170.03283175395</v>
      </c>
      <c r="M34" s="10">
        <f t="shared" si="6"/>
        <v>163243.65452512685</v>
      </c>
      <c r="N34" s="10">
        <f>SUM(B34:M34)</f>
        <v>979779.10926506389</v>
      </c>
    </row>
    <row r="36" spans="1:14" x14ac:dyDescent="0.25">
      <c r="A36" t="s">
        <v>77</v>
      </c>
      <c r="B36" s="6">
        <f>N36/12</f>
        <v>12247.238865813299</v>
      </c>
      <c r="C36" s="6">
        <f>N36/12</f>
        <v>12247.238865813299</v>
      </c>
      <c r="D36" s="6">
        <f>N36/12</f>
        <v>12247.238865813299</v>
      </c>
      <c r="E36" s="6">
        <f>N36/12</f>
        <v>12247.238865813299</v>
      </c>
      <c r="F36" s="6">
        <f>N36/12</f>
        <v>12247.238865813299</v>
      </c>
      <c r="G36" s="6">
        <f>N36/12</f>
        <v>12247.238865813299</v>
      </c>
      <c r="H36" s="6">
        <f>N36/12</f>
        <v>12247.238865813299</v>
      </c>
      <c r="I36" s="6">
        <f>N36/12</f>
        <v>12247.238865813299</v>
      </c>
      <c r="J36" s="6">
        <f>N36/12</f>
        <v>12247.238865813299</v>
      </c>
      <c r="K36" s="6">
        <f>N36/12</f>
        <v>12247.238865813299</v>
      </c>
      <c r="L36" s="6">
        <f>N36/12</f>
        <v>12247.238865813299</v>
      </c>
      <c r="M36" s="6">
        <f>N36/12</f>
        <v>12247.238865813299</v>
      </c>
      <c r="N36" s="7">
        <f>IF(N34&lt;=0,0,N34*DATA!B75)</f>
        <v>146966.86638975958</v>
      </c>
    </row>
    <row r="38" spans="1:14" x14ac:dyDescent="0.25">
      <c r="A38" s="4" t="s">
        <v>78</v>
      </c>
      <c r="B38" s="9">
        <f t="shared" ref="B38:M38" si="7">B34-B36</f>
        <v>-89241.286484860917</v>
      </c>
      <c r="C38" s="9">
        <f t="shared" si="7"/>
        <v>-101116.28648486092</v>
      </c>
      <c r="D38" s="9">
        <f t="shared" si="7"/>
        <v>-123893.23648486093</v>
      </c>
      <c r="E38" s="9">
        <f t="shared" si="7"/>
        <v>108601.39152001776</v>
      </c>
      <c r="F38" s="9">
        <f t="shared" si="7"/>
        <v>114857.32312883291</v>
      </c>
      <c r="G38" s="9">
        <f t="shared" si="7"/>
        <v>121219.12657170382</v>
      </c>
      <c r="H38" s="9">
        <f t="shared" si="7"/>
        <v>116873.47859265143</v>
      </c>
      <c r="I38" s="9">
        <f t="shared" si="7"/>
        <v>123457.22725249972</v>
      </c>
      <c r="J38" s="9">
        <f t="shared" si="7"/>
        <v>130157.40236669761</v>
      </c>
      <c r="K38" s="9">
        <f t="shared" si="7"/>
        <v>136977.89327222964</v>
      </c>
      <c r="L38" s="9">
        <f t="shared" si="7"/>
        <v>143922.79396594065</v>
      </c>
      <c r="M38" s="9">
        <f t="shared" si="7"/>
        <v>150996.41565931356</v>
      </c>
      <c r="N38" s="9">
        <f>SUM(B38:M38)</f>
        <v>832812.24287530431</v>
      </c>
    </row>
    <row r="43" spans="1:14" x14ac:dyDescent="0.25">
      <c r="A43" t="s">
        <v>79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ProjectionHub</vt:lpstr>
      <vt:lpstr>DATA</vt:lpstr>
      <vt:lpstr>RevenueModule</vt:lpstr>
      <vt:lpstr>Manufacturing Setup</vt:lpstr>
      <vt:lpstr>Inventory Module</vt:lpstr>
      <vt:lpstr>LoanModule</vt:lpstr>
      <vt:lpstr>SalaryModule</vt:lpstr>
      <vt:lpstr>StartupCosts</vt:lpstr>
      <vt:lpstr>IncomeStatement_Year1</vt:lpstr>
      <vt:lpstr>IncomeStatement_Year2</vt:lpstr>
      <vt:lpstr>IncomeStatement_Year3</vt:lpstr>
      <vt:lpstr>IncomeStatement_Year4</vt:lpstr>
      <vt:lpstr>IncomeStatement_Year5</vt:lpstr>
      <vt:lpstr>CashFlowStatement_Year1</vt:lpstr>
      <vt:lpstr>CashFlowStatement_Year2</vt:lpstr>
      <vt:lpstr>CashFlowStatement_Year3</vt:lpstr>
      <vt:lpstr>CashFlowStatement_Year4</vt:lpstr>
      <vt:lpstr>CashFlowStatement_Year5</vt:lpstr>
      <vt:lpstr>BalanceSheet_Year1</vt:lpstr>
      <vt:lpstr>BalanceSheet_Year2</vt:lpstr>
      <vt:lpstr>BalanceSheet_Year3</vt:lpstr>
      <vt:lpstr>BalanceSheet_Year4</vt:lpstr>
      <vt:lpstr>BalanceSheet_Year5</vt:lpstr>
      <vt:lpstr>AnnualSummary</vt:lpstr>
      <vt:lpstr>Dashboard</vt:lpstr>
      <vt:lpstr>Graphs for Dashboard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ProjectionHub</dc:creator>
  <cp:keywords>office 2007 openxml php</cp:keywords>
  <dc:description>Test document for Office 2007 XLSX, generated using PHP classes.</dc:description>
  <cp:lastModifiedBy>Adam</cp:lastModifiedBy>
  <dcterms:created xsi:type="dcterms:W3CDTF">2014-06-27T20:10:25Z</dcterms:created>
  <dcterms:modified xsi:type="dcterms:W3CDTF">2017-08-14T19:23:06Z</dcterms:modified>
  <cp:category>Financial Projections</cp:category>
</cp:coreProperties>
</file>