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am\Desktop\Adam\New ProjectionHub\"/>
    </mc:Choice>
  </mc:AlternateContent>
  <bookViews>
    <workbookView xWindow="0" yWindow="0" windowWidth="20490" windowHeight="7650"/>
  </bookViews>
  <sheets>
    <sheet name="ProjectionHub" sheetId="30" r:id="rId1"/>
    <sheet name="DATA" sheetId="1" r:id="rId2"/>
    <sheet name="RevenueModule" sheetId="29" r:id="rId3"/>
    <sheet name="LoanModule" sheetId="2" r:id="rId4"/>
    <sheet name="StartupCosts" sheetId="4" r:id="rId5"/>
    <sheet name="IncomeStatement_Year1" sheetId="5" r:id="rId6"/>
    <sheet name="IncomeStatement_Year2" sheetId="6" r:id="rId7"/>
    <sheet name="IncomeStatement_Year3" sheetId="7" r:id="rId8"/>
    <sheet name="IncomeStatement_Year4" sheetId="21" r:id="rId9"/>
    <sheet name="IncomeStatement_Year5" sheetId="22" r:id="rId10"/>
    <sheet name="CashFlowStatement_Year1" sheetId="8" r:id="rId11"/>
    <sheet name="CashFlowStatement_Year2" sheetId="9" r:id="rId12"/>
    <sheet name="CashFlowStatement_Year3" sheetId="10" r:id="rId13"/>
    <sheet name="CashFlowStatement_Year4" sheetId="24" r:id="rId14"/>
    <sheet name="CashFlowStatement_Year5" sheetId="23" r:id="rId15"/>
    <sheet name="BalanceSheet_Year1" sheetId="11" r:id="rId16"/>
    <sheet name="BalanceSheet_Year2" sheetId="12" r:id="rId17"/>
    <sheet name="BalanceSheet_Year3" sheetId="13" r:id="rId18"/>
    <sheet name="BalanceSheet_Year4" sheetId="26" r:id="rId19"/>
    <sheet name="BalanceSheet_Year5" sheetId="25" r:id="rId20"/>
    <sheet name="AnnualSummary" sheetId="15" r:id="rId21"/>
    <sheet name="Dashboard Example" sheetId="19" r:id="rId22"/>
    <sheet name="Graphs for Dashboard" sheetId="16" r:id="rId23"/>
  </sheets>
  <definedNames>
    <definedName name="valuevx">42.314159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0" l="1"/>
  <c r="B3" i="4" l="1"/>
  <c r="B19" i="4" s="1"/>
  <c r="B4" i="4"/>
  <c r="B21" i="4"/>
  <c r="B20" i="4"/>
  <c r="B2" i="4"/>
  <c r="B17" i="4"/>
  <c r="B13" i="4"/>
  <c r="AW33" i="29"/>
  <c r="AK33" i="29"/>
  <c r="Y33" i="29"/>
  <c r="M33" i="29"/>
  <c r="B33" i="29"/>
  <c r="D22" i="1"/>
  <c r="D19" i="1"/>
  <c r="F65" i="1" s="1"/>
  <c r="F30" i="5" s="1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AI32" i="29"/>
  <c r="AJ32" i="29"/>
  <c r="AK32" i="29"/>
  <c r="AL32" i="29"/>
  <c r="AM32" i="29"/>
  <c r="AN32" i="29"/>
  <c r="AO32" i="29"/>
  <c r="AP32" i="29"/>
  <c r="AQ32" i="29"/>
  <c r="AR32" i="29"/>
  <c r="AS32" i="29"/>
  <c r="AT32" i="29"/>
  <c r="AU32" i="29"/>
  <c r="AV32" i="29"/>
  <c r="AW32" i="29"/>
  <c r="AX32" i="29"/>
  <c r="AY32" i="29"/>
  <c r="AZ32" i="29"/>
  <c r="BA32" i="29"/>
  <c r="BB32" i="29"/>
  <c r="BC32" i="29"/>
  <c r="BD32" i="29"/>
  <c r="BE32" i="29"/>
  <c r="BF32" i="29"/>
  <c r="BG32" i="29"/>
  <c r="BH32" i="29"/>
  <c r="BI32" i="29"/>
  <c r="C23" i="29"/>
  <c r="B11" i="1"/>
  <c r="B13" i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F9" i="2"/>
  <c r="C9" i="2"/>
  <c r="D9" i="2"/>
  <c r="C26" i="8" s="1"/>
  <c r="C10" i="2"/>
  <c r="C11" i="2"/>
  <c r="C12" i="2"/>
  <c r="C13" i="2"/>
  <c r="C14" i="2"/>
  <c r="C15" i="2"/>
  <c r="C16" i="2"/>
  <c r="C17" i="2"/>
  <c r="C18" i="2"/>
  <c r="C19" i="2"/>
  <c r="C20" i="2"/>
  <c r="B29" i="11"/>
  <c r="B11" i="29"/>
  <c r="B25" i="29"/>
  <c r="C25" i="9"/>
  <c r="D25" i="9"/>
  <c r="E25" i="9"/>
  <c r="F25" i="9"/>
  <c r="G25" i="9"/>
  <c r="H25" i="9"/>
  <c r="I25" i="9"/>
  <c r="J25" i="9"/>
  <c r="K25" i="9"/>
  <c r="L25" i="9"/>
  <c r="M25" i="9"/>
  <c r="B25" i="9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C25" i="23"/>
  <c r="D25" i="23"/>
  <c r="E25" i="23"/>
  <c r="F25" i="23"/>
  <c r="G25" i="23"/>
  <c r="H25" i="23"/>
  <c r="I25" i="23"/>
  <c r="J25" i="23"/>
  <c r="K25" i="23"/>
  <c r="L25" i="23"/>
  <c r="M25" i="23"/>
  <c r="B25" i="23"/>
  <c r="M25" i="24"/>
  <c r="C25" i="24"/>
  <c r="D25" i="24"/>
  <c r="E25" i="24"/>
  <c r="F25" i="24"/>
  <c r="G25" i="24"/>
  <c r="H25" i="24"/>
  <c r="I25" i="24"/>
  <c r="J25" i="24"/>
  <c r="K25" i="24"/>
  <c r="L25" i="24"/>
  <c r="B27" i="5"/>
  <c r="B28" i="5"/>
  <c r="B18" i="5"/>
  <c r="B19" i="5"/>
  <c r="B20" i="5"/>
  <c r="B21" i="5"/>
  <c r="B22" i="5"/>
  <c r="B23" i="5"/>
  <c r="B24" i="5"/>
  <c r="B25" i="5"/>
  <c r="B26" i="5"/>
  <c r="B13" i="29"/>
  <c r="B15" i="29"/>
  <c r="B16" i="29"/>
  <c r="B61" i="1"/>
  <c r="B29" i="5"/>
  <c r="B66" i="1"/>
  <c r="B67" i="1"/>
  <c r="B7" i="5"/>
  <c r="B8" i="5"/>
  <c r="B26" i="29"/>
  <c r="B34" i="1"/>
  <c r="B62" i="1"/>
  <c r="B10" i="5"/>
  <c r="B31" i="29"/>
  <c r="B34" i="29"/>
  <c r="B35" i="29"/>
  <c r="B36" i="1"/>
  <c r="B63" i="1"/>
  <c r="B11" i="5"/>
  <c r="B12" i="5"/>
  <c r="B14" i="5"/>
  <c r="C27" i="5"/>
  <c r="C18" i="5"/>
  <c r="C44" i="1"/>
  <c r="C19" i="5"/>
  <c r="C20" i="5"/>
  <c r="C21" i="5"/>
  <c r="C48" i="1"/>
  <c r="C22" i="5"/>
  <c r="C23" i="5"/>
  <c r="C24" i="5"/>
  <c r="C25" i="5"/>
  <c r="C26" i="5"/>
  <c r="C11" i="29"/>
  <c r="C13" i="29"/>
  <c r="C15" i="29"/>
  <c r="C16" i="29"/>
  <c r="C61" i="1"/>
  <c r="C29" i="5"/>
  <c r="C66" i="1"/>
  <c r="C67" i="1"/>
  <c r="C7" i="5"/>
  <c r="C8" i="5"/>
  <c r="C21" i="29"/>
  <c r="C25" i="29"/>
  <c r="C26" i="29"/>
  <c r="C34" i="1"/>
  <c r="C62" i="1"/>
  <c r="C10" i="5"/>
  <c r="C31" i="29"/>
  <c r="C34" i="29"/>
  <c r="C35" i="29"/>
  <c r="C36" i="1"/>
  <c r="C63" i="1"/>
  <c r="C11" i="5"/>
  <c r="C12" i="5"/>
  <c r="C14" i="5"/>
  <c r="D27" i="5"/>
  <c r="D18" i="5"/>
  <c r="D44" i="1"/>
  <c r="D19" i="5"/>
  <c r="D20" i="5"/>
  <c r="D21" i="5"/>
  <c r="D48" i="1"/>
  <c r="D22" i="5"/>
  <c r="D23" i="5"/>
  <c r="D24" i="5"/>
  <c r="D25" i="5"/>
  <c r="D26" i="5"/>
  <c r="D11" i="29"/>
  <c r="D13" i="29"/>
  <c r="D15" i="29"/>
  <c r="D16" i="29"/>
  <c r="D61" i="1"/>
  <c r="D29" i="5"/>
  <c r="D65" i="1"/>
  <c r="D30" i="5" s="1"/>
  <c r="D66" i="1"/>
  <c r="D67" i="1"/>
  <c r="D7" i="5"/>
  <c r="D8" i="5"/>
  <c r="D21" i="29"/>
  <c r="D23" i="29"/>
  <c r="D25" i="29"/>
  <c r="D26" i="29"/>
  <c r="D34" i="1"/>
  <c r="D62" i="1"/>
  <c r="D10" i="5"/>
  <c r="D31" i="29"/>
  <c r="D34" i="29"/>
  <c r="D35" i="29"/>
  <c r="D36" i="1"/>
  <c r="D63" i="1"/>
  <c r="D11" i="5"/>
  <c r="D12" i="5"/>
  <c r="D14" i="5"/>
  <c r="E27" i="5"/>
  <c r="E18" i="5"/>
  <c r="E44" i="1"/>
  <c r="E19" i="5"/>
  <c r="E20" i="5"/>
  <c r="E21" i="5"/>
  <c r="E48" i="1"/>
  <c r="E22" i="5"/>
  <c r="E23" i="5"/>
  <c r="E24" i="5"/>
  <c r="E25" i="5"/>
  <c r="E26" i="5"/>
  <c r="E11" i="29"/>
  <c r="E13" i="29"/>
  <c r="E15" i="29"/>
  <c r="E16" i="29"/>
  <c r="E61" i="1"/>
  <c r="E29" i="5"/>
  <c r="E66" i="1"/>
  <c r="E67" i="1"/>
  <c r="E7" i="5"/>
  <c r="E8" i="5"/>
  <c r="E21" i="29"/>
  <c r="E23" i="29"/>
  <c r="E25" i="29"/>
  <c r="E26" i="29"/>
  <c r="E34" i="1"/>
  <c r="E62" i="1"/>
  <c r="E10" i="5"/>
  <c r="E31" i="29"/>
  <c r="E34" i="29"/>
  <c r="E35" i="29"/>
  <c r="E36" i="1"/>
  <c r="E63" i="1"/>
  <c r="E11" i="5"/>
  <c r="E12" i="5"/>
  <c r="E14" i="5"/>
  <c r="F27" i="5"/>
  <c r="F18" i="5"/>
  <c r="F44" i="1"/>
  <c r="F19" i="5"/>
  <c r="F20" i="5"/>
  <c r="F21" i="5"/>
  <c r="F48" i="1"/>
  <c r="F22" i="5"/>
  <c r="F23" i="5"/>
  <c r="F24" i="5"/>
  <c r="F25" i="5"/>
  <c r="F26" i="5"/>
  <c r="F11" i="29"/>
  <c r="F13" i="29"/>
  <c r="F15" i="29"/>
  <c r="F16" i="29"/>
  <c r="F61" i="1"/>
  <c r="F29" i="5"/>
  <c r="F66" i="1"/>
  <c r="F67" i="1"/>
  <c r="F7" i="5"/>
  <c r="F8" i="5"/>
  <c r="F21" i="29"/>
  <c r="F23" i="29"/>
  <c r="F25" i="29"/>
  <c r="F26" i="29"/>
  <c r="F34" i="1"/>
  <c r="F62" i="1"/>
  <c r="F10" i="5"/>
  <c r="F31" i="29"/>
  <c r="F34" i="29"/>
  <c r="F35" i="29"/>
  <c r="F36" i="1"/>
  <c r="F63" i="1"/>
  <c r="F11" i="5"/>
  <c r="F12" i="5"/>
  <c r="F14" i="5"/>
  <c r="G27" i="5"/>
  <c r="G18" i="5"/>
  <c r="G44" i="1"/>
  <c r="G19" i="5"/>
  <c r="G20" i="5"/>
  <c r="G21" i="5"/>
  <c r="G48" i="1"/>
  <c r="G22" i="5"/>
  <c r="G23" i="5"/>
  <c r="G24" i="5"/>
  <c r="G25" i="5"/>
  <c r="G26" i="5"/>
  <c r="G11" i="29"/>
  <c r="G13" i="29"/>
  <c r="G15" i="29"/>
  <c r="G16" i="29"/>
  <c r="G61" i="1"/>
  <c r="G29" i="5"/>
  <c r="G66" i="1"/>
  <c r="G67" i="1"/>
  <c r="G7" i="5"/>
  <c r="G8" i="5"/>
  <c r="G21" i="29"/>
  <c r="G23" i="29"/>
  <c r="G25" i="29"/>
  <c r="G26" i="29"/>
  <c r="G34" i="1"/>
  <c r="G62" i="1"/>
  <c r="G10" i="5"/>
  <c r="G31" i="29"/>
  <c r="G34" i="29"/>
  <c r="G35" i="29"/>
  <c r="G36" i="1"/>
  <c r="G63" i="1"/>
  <c r="G11" i="5"/>
  <c r="G12" i="5"/>
  <c r="G14" i="5"/>
  <c r="H27" i="5"/>
  <c r="H18" i="5"/>
  <c r="H44" i="1"/>
  <c r="H19" i="5"/>
  <c r="H20" i="5"/>
  <c r="H21" i="5"/>
  <c r="H48" i="1"/>
  <c r="H22" i="5"/>
  <c r="H23" i="5"/>
  <c r="H24" i="5"/>
  <c r="H25" i="5"/>
  <c r="H26" i="5"/>
  <c r="H11" i="29"/>
  <c r="H13" i="29"/>
  <c r="H15" i="29"/>
  <c r="H16" i="29"/>
  <c r="H61" i="1"/>
  <c r="H29" i="5"/>
  <c r="H65" i="1"/>
  <c r="H30" i="5" s="1"/>
  <c r="H66" i="1"/>
  <c r="H67" i="1"/>
  <c r="H7" i="5"/>
  <c r="H8" i="5"/>
  <c r="H21" i="29"/>
  <c r="H23" i="29"/>
  <c r="H25" i="29"/>
  <c r="H26" i="29"/>
  <c r="H34" i="1"/>
  <c r="H62" i="1"/>
  <c r="H10" i="5"/>
  <c r="H31" i="29"/>
  <c r="H34" i="29"/>
  <c r="H35" i="29"/>
  <c r="H36" i="1"/>
  <c r="H63" i="1"/>
  <c r="H11" i="5"/>
  <c r="H12" i="5"/>
  <c r="H14" i="5"/>
  <c r="I27" i="5"/>
  <c r="I18" i="5"/>
  <c r="I44" i="1"/>
  <c r="I19" i="5"/>
  <c r="I20" i="5"/>
  <c r="I21" i="5"/>
  <c r="I48" i="1"/>
  <c r="I22" i="5"/>
  <c r="I23" i="5"/>
  <c r="I24" i="5"/>
  <c r="I25" i="5"/>
  <c r="I26" i="5"/>
  <c r="I11" i="29"/>
  <c r="I13" i="29"/>
  <c r="I15" i="29"/>
  <c r="I16" i="29"/>
  <c r="I61" i="1"/>
  <c r="I29" i="5"/>
  <c r="I66" i="1"/>
  <c r="I67" i="1"/>
  <c r="I7" i="5"/>
  <c r="I8" i="5"/>
  <c r="I21" i="29"/>
  <c r="I23" i="29"/>
  <c r="I25" i="29"/>
  <c r="I26" i="29"/>
  <c r="I34" i="1"/>
  <c r="I62" i="1"/>
  <c r="I10" i="5"/>
  <c r="I31" i="29"/>
  <c r="I34" i="29"/>
  <c r="I35" i="29"/>
  <c r="I36" i="1"/>
  <c r="I63" i="1"/>
  <c r="I11" i="5"/>
  <c r="I12" i="5"/>
  <c r="I14" i="5"/>
  <c r="J27" i="5"/>
  <c r="J18" i="5"/>
  <c r="J44" i="1"/>
  <c r="J19" i="5"/>
  <c r="J20" i="5"/>
  <c r="J21" i="5"/>
  <c r="J48" i="1"/>
  <c r="J22" i="5"/>
  <c r="J23" i="5"/>
  <c r="J24" i="5"/>
  <c r="J25" i="5"/>
  <c r="J26" i="5"/>
  <c r="J11" i="29"/>
  <c r="J13" i="29"/>
  <c r="J15" i="29"/>
  <c r="J16" i="29"/>
  <c r="J61" i="1"/>
  <c r="J29" i="5"/>
  <c r="J66" i="1"/>
  <c r="J67" i="1"/>
  <c r="J7" i="5"/>
  <c r="J8" i="5"/>
  <c r="J21" i="29"/>
  <c r="J23" i="29"/>
  <c r="J25" i="29"/>
  <c r="J26" i="29"/>
  <c r="J34" i="1"/>
  <c r="J62" i="1"/>
  <c r="J10" i="5"/>
  <c r="J31" i="29"/>
  <c r="J34" i="29"/>
  <c r="J35" i="29"/>
  <c r="J36" i="1"/>
  <c r="J63" i="1"/>
  <c r="J11" i="5"/>
  <c r="J12" i="5"/>
  <c r="J14" i="5"/>
  <c r="K27" i="5"/>
  <c r="K18" i="5"/>
  <c r="K44" i="1"/>
  <c r="K19" i="5"/>
  <c r="K20" i="5"/>
  <c r="K21" i="5"/>
  <c r="K48" i="1"/>
  <c r="K22" i="5"/>
  <c r="K23" i="5"/>
  <c r="K24" i="5"/>
  <c r="K25" i="5"/>
  <c r="K26" i="5"/>
  <c r="K11" i="29"/>
  <c r="K13" i="29"/>
  <c r="K15" i="29"/>
  <c r="K16" i="29"/>
  <c r="K61" i="1"/>
  <c r="K29" i="5"/>
  <c r="K66" i="1"/>
  <c r="K67" i="1"/>
  <c r="K7" i="5"/>
  <c r="K8" i="5"/>
  <c r="K21" i="29"/>
  <c r="K23" i="29"/>
  <c r="K25" i="29"/>
  <c r="K26" i="29"/>
  <c r="K34" i="1"/>
  <c r="K62" i="1"/>
  <c r="K10" i="5"/>
  <c r="K31" i="29"/>
  <c r="K34" i="29"/>
  <c r="K35" i="29"/>
  <c r="K36" i="1"/>
  <c r="K63" i="1"/>
  <c r="K11" i="5"/>
  <c r="K12" i="5"/>
  <c r="K14" i="5"/>
  <c r="L27" i="5"/>
  <c r="L18" i="5"/>
  <c r="L44" i="1"/>
  <c r="L19" i="5"/>
  <c r="L20" i="5"/>
  <c r="L21" i="5"/>
  <c r="L48" i="1"/>
  <c r="L22" i="5"/>
  <c r="L23" i="5"/>
  <c r="L24" i="5"/>
  <c r="L25" i="5"/>
  <c r="L26" i="5"/>
  <c r="L11" i="29"/>
  <c r="L13" i="29"/>
  <c r="L15" i="29"/>
  <c r="L16" i="29"/>
  <c r="L61" i="1"/>
  <c r="L29" i="5"/>
  <c r="L65" i="1"/>
  <c r="L30" i="5" s="1"/>
  <c r="L66" i="1"/>
  <c r="L67" i="1"/>
  <c r="L7" i="5"/>
  <c r="L8" i="5"/>
  <c r="L21" i="29"/>
  <c r="L23" i="29"/>
  <c r="L25" i="29"/>
  <c r="L26" i="29"/>
  <c r="L34" i="1"/>
  <c r="L62" i="1"/>
  <c r="L10" i="5"/>
  <c r="L31" i="29"/>
  <c r="L34" i="29"/>
  <c r="L35" i="29"/>
  <c r="L36" i="1"/>
  <c r="L63" i="1"/>
  <c r="L11" i="5"/>
  <c r="L12" i="5"/>
  <c r="L14" i="5"/>
  <c r="M27" i="5"/>
  <c r="M18" i="5"/>
  <c r="M44" i="1"/>
  <c r="M19" i="5"/>
  <c r="M20" i="5"/>
  <c r="M21" i="5"/>
  <c r="M48" i="1"/>
  <c r="M22" i="5"/>
  <c r="M23" i="5"/>
  <c r="M24" i="5"/>
  <c r="M25" i="5"/>
  <c r="M26" i="5"/>
  <c r="M11" i="29"/>
  <c r="M13" i="29"/>
  <c r="M15" i="29"/>
  <c r="M16" i="29"/>
  <c r="M61" i="1"/>
  <c r="M29" i="5"/>
  <c r="M66" i="1"/>
  <c r="M67" i="1"/>
  <c r="M7" i="5"/>
  <c r="M8" i="5"/>
  <c r="M21" i="29"/>
  <c r="M23" i="29"/>
  <c r="M25" i="29"/>
  <c r="M26" i="29"/>
  <c r="M34" i="1"/>
  <c r="M62" i="1"/>
  <c r="M10" i="5"/>
  <c r="M31" i="29"/>
  <c r="M34" i="29"/>
  <c r="M35" i="29"/>
  <c r="M36" i="1"/>
  <c r="M63" i="1"/>
  <c r="M11" i="5"/>
  <c r="M12" i="5"/>
  <c r="M14" i="5"/>
  <c r="C32" i="8"/>
  <c r="C15" i="8"/>
  <c r="C16" i="8"/>
  <c r="C17" i="8"/>
  <c r="C18" i="8"/>
  <c r="C19" i="8"/>
  <c r="C20" i="8"/>
  <c r="C21" i="8"/>
  <c r="C22" i="8"/>
  <c r="C23" i="8"/>
  <c r="C24" i="8"/>
  <c r="C28" i="8"/>
  <c r="C29" i="8"/>
  <c r="O29" i="8" s="1"/>
  <c r="C30" i="8"/>
  <c r="C11" i="8"/>
  <c r="C10" i="8"/>
  <c r="C12" i="8"/>
  <c r="C7" i="8"/>
  <c r="D15" i="8"/>
  <c r="D16" i="8"/>
  <c r="D17" i="8"/>
  <c r="D18" i="8"/>
  <c r="D19" i="8"/>
  <c r="D20" i="8"/>
  <c r="D21" i="8"/>
  <c r="D22" i="8"/>
  <c r="D23" i="8"/>
  <c r="D24" i="8"/>
  <c r="D28" i="8"/>
  <c r="D29" i="8"/>
  <c r="D30" i="8"/>
  <c r="D32" i="8"/>
  <c r="D11" i="8"/>
  <c r="D10" i="8"/>
  <c r="D12" i="8"/>
  <c r="C10" i="11"/>
  <c r="D10" i="11"/>
  <c r="D11" i="11"/>
  <c r="B15" i="11"/>
  <c r="B16" i="11"/>
  <c r="C16" i="11" s="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B16" i="12" s="1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B16" i="13" s="1"/>
  <c r="C16" i="13" s="1"/>
  <c r="D16" i="13" s="1"/>
  <c r="E16" i="13" s="1"/>
  <c r="F16" i="13" s="1"/>
  <c r="G16" i="13" s="1"/>
  <c r="H16" i="13" s="1"/>
  <c r="I16" i="13" s="1"/>
  <c r="J16" i="13" s="1"/>
  <c r="K16" i="13" s="1"/>
  <c r="L16" i="13" s="1"/>
  <c r="M16" i="13" s="1"/>
  <c r="B16" i="26" s="1"/>
  <c r="C16" i="26" s="1"/>
  <c r="D16" i="26" s="1"/>
  <c r="E16" i="26" s="1"/>
  <c r="F16" i="26" s="1"/>
  <c r="G16" i="26" s="1"/>
  <c r="H16" i="26" s="1"/>
  <c r="I16" i="26" s="1"/>
  <c r="J16" i="26" s="1"/>
  <c r="K16" i="26" s="1"/>
  <c r="L16" i="26" s="1"/>
  <c r="M16" i="26" s="1"/>
  <c r="B16" i="25" s="1"/>
  <c r="C16" i="25" s="1"/>
  <c r="D16" i="25" s="1"/>
  <c r="E16" i="25" s="1"/>
  <c r="F16" i="25" s="1"/>
  <c r="G16" i="25" s="1"/>
  <c r="H16" i="25" s="1"/>
  <c r="I16" i="25" s="1"/>
  <c r="J16" i="25" s="1"/>
  <c r="K16" i="25" s="1"/>
  <c r="L16" i="25" s="1"/>
  <c r="M16" i="25" s="1"/>
  <c r="B17" i="11"/>
  <c r="B24" i="11"/>
  <c r="B25" i="11"/>
  <c r="B31" i="11"/>
  <c r="B11" i="11"/>
  <c r="B9" i="11"/>
  <c r="B12" i="11" s="1"/>
  <c r="B10" i="11"/>
  <c r="B34" i="11"/>
  <c r="B12" i="4"/>
  <c r="B35" i="11"/>
  <c r="C36" i="11"/>
  <c r="D36" i="11"/>
  <c r="C34" i="11"/>
  <c r="D34" i="11"/>
  <c r="C35" i="11"/>
  <c r="D35" i="11"/>
  <c r="D24" i="11"/>
  <c r="D25" i="11"/>
  <c r="E15" i="8"/>
  <c r="E16" i="8"/>
  <c r="E17" i="8"/>
  <c r="E18" i="8"/>
  <c r="E19" i="8"/>
  <c r="E20" i="8"/>
  <c r="E21" i="8"/>
  <c r="E22" i="8"/>
  <c r="E23" i="8"/>
  <c r="E24" i="8"/>
  <c r="E28" i="8"/>
  <c r="E29" i="8"/>
  <c r="E30" i="8"/>
  <c r="E32" i="8"/>
  <c r="E11" i="8"/>
  <c r="E10" i="8"/>
  <c r="E12" i="8"/>
  <c r="E10" i="11"/>
  <c r="E11" i="11"/>
  <c r="E36" i="11"/>
  <c r="E34" i="11"/>
  <c r="E35" i="11"/>
  <c r="E24" i="11"/>
  <c r="E25" i="11"/>
  <c r="F15" i="8"/>
  <c r="F16" i="8"/>
  <c r="F17" i="8"/>
  <c r="F18" i="8"/>
  <c r="F19" i="8"/>
  <c r="F20" i="8"/>
  <c r="F21" i="8"/>
  <c r="F22" i="8"/>
  <c r="F23" i="8"/>
  <c r="F24" i="8"/>
  <c r="F28" i="8"/>
  <c r="F29" i="8"/>
  <c r="F30" i="8"/>
  <c r="F32" i="8"/>
  <c r="F11" i="8"/>
  <c r="F12" i="8" s="1"/>
  <c r="F10" i="8"/>
  <c r="F10" i="11"/>
  <c r="F11" i="11"/>
  <c r="F36" i="11"/>
  <c r="F34" i="11"/>
  <c r="F35" i="11"/>
  <c r="F24" i="11"/>
  <c r="F25" i="11"/>
  <c r="G15" i="8"/>
  <c r="G16" i="8"/>
  <c r="G17" i="8"/>
  <c r="G18" i="8"/>
  <c r="G19" i="8"/>
  <c r="G20" i="8"/>
  <c r="G21" i="8"/>
  <c r="G22" i="8"/>
  <c r="G23" i="8"/>
  <c r="G24" i="8"/>
  <c r="G28" i="8"/>
  <c r="G29" i="8"/>
  <c r="G30" i="8"/>
  <c r="G32" i="8"/>
  <c r="G11" i="8"/>
  <c r="G10" i="8"/>
  <c r="G10" i="11"/>
  <c r="G11" i="11"/>
  <c r="G36" i="11"/>
  <c r="G34" i="11"/>
  <c r="G35" i="11"/>
  <c r="G24" i="11"/>
  <c r="G25" i="11"/>
  <c r="H15" i="8"/>
  <c r="H16" i="8"/>
  <c r="H17" i="8"/>
  <c r="H18" i="8"/>
  <c r="H19" i="8"/>
  <c r="H20" i="8"/>
  <c r="H21" i="8"/>
  <c r="H22" i="8"/>
  <c r="H23" i="8"/>
  <c r="H24" i="8"/>
  <c r="H28" i="8"/>
  <c r="H29" i="8"/>
  <c r="H30" i="8"/>
  <c r="H32" i="8"/>
  <c r="H11" i="8"/>
  <c r="H10" i="8"/>
  <c r="H12" i="8"/>
  <c r="H10" i="11"/>
  <c r="H11" i="11"/>
  <c r="H36" i="11"/>
  <c r="H34" i="11"/>
  <c r="H35" i="11"/>
  <c r="H24" i="11"/>
  <c r="H25" i="11"/>
  <c r="I15" i="8"/>
  <c r="I16" i="8"/>
  <c r="I17" i="8"/>
  <c r="I18" i="8"/>
  <c r="I19" i="8"/>
  <c r="I20" i="8"/>
  <c r="I21" i="8"/>
  <c r="I22" i="8"/>
  <c r="I23" i="8"/>
  <c r="I24" i="8"/>
  <c r="I28" i="8"/>
  <c r="I29" i="8"/>
  <c r="I30" i="8"/>
  <c r="I32" i="8"/>
  <c r="I11" i="8"/>
  <c r="I10" i="8"/>
  <c r="I12" i="8"/>
  <c r="I10" i="11"/>
  <c r="I11" i="11"/>
  <c r="I36" i="11"/>
  <c r="I34" i="11"/>
  <c r="I35" i="11"/>
  <c r="I24" i="11"/>
  <c r="I25" i="11"/>
  <c r="J15" i="8"/>
  <c r="J16" i="8"/>
  <c r="J17" i="8"/>
  <c r="J18" i="8"/>
  <c r="J19" i="8"/>
  <c r="J20" i="8"/>
  <c r="J21" i="8"/>
  <c r="J22" i="8"/>
  <c r="J23" i="8"/>
  <c r="J24" i="8"/>
  <c r="J28" i="8"/>
  <c r="J29" i="8"/>
  <c r="J30" i="8"/>
  <c r="J32" i="8"/>
  <c r="J11" i="8"/>
  <c r="J12" i="8" s="1"/>
  <c r="J10" i="8"/>
  <c r="J10" i="11"/>
  <c r="J11" i="11"/>
  <c r="J36" i="11"/>
  <c r="J34" i="11"/>
  <c r="J35" i="11"/>
  <c r="J24" i="11"/>
  <c r="J25" i="11"/>
  <c r="K15" i="8"/>
  <c r="K16" i="8"/>
  <c r="K17" i="8"/>
  <c r="K18" i="8"/>
  <c r="K19" i="8"/>
  <c r="K20" i="8"/>
  <c r="K21" i="8"/>
  <c r="K22" i="8"/>
  <c r="K23" i="8"/>
  <c r="K24" i="8"/>
  <c r="K28" i="8"/>
  <c r="K29" i="8"/>
  <c r="K30" i="8"/>
  <c r="K32" i="8"/>
  <c r="K11" i="8"/>
  <c r="K12" i="8" s="1"/>
  <c r="K10" i="8"/>
  <c r="K10" i="11"/>
  <c r="K11" i="11"/>
  <c r="K36" i="11"/>
  <c r="K34" i="11"/>
  <c r="K35" i="11"/>
  <c r="K24" i="11"/>
  <c r="K25" i="11"/>
  <c r="L15" i="8"/>
  <c r="L16" i="8"/>
  <c r="L17" i="8"/>
  <c r="L18" i="8"/>
  <c r="L19" i="8"/>
  <c r="L20" i="8"/>
  <c r="L21" i="8"/>
  <c r="L22" i="8"/>
  <c r="L23" i="8"/>
  <c r="L24" i="8"/>
  <c r="L28" i="8"/>
  <c r="L29" i="8"/>
  <c r="L30" i="8"/>
  <c r="L32" i="8"/>
  <c r="L11" i="8"/>
  <c r="L10" i="8"/>
  <c r="L12" i="8"/>
  <c r="L10" i="11"/>
  <c r="L11" i="11"/>
  <c r="L36" i="11"/>
  <c r="L34" i="11"/>
  <c r="L35" i="11"/>
  <c r="L24" i="11"/>
  <c r="L25" i="11"/>
  <c r="M15" i="8"/>
  <c r="M16" i="8"/>
  <c r="M17" i="8"/>
  <c r="M18" i="8"/>
  <c r="M19" i="8"/>
  <c r="M20" i="8"/>
  <c r="M21" i="8"/>
  <c r="M22" i="8"/>
  <c r="M23" i="8"/>
  <c r="M24" i="8"/>
  <c r="M28" i="8"/>
  <c r="M29" i="8"/>
  <c r="M30" i="8"/>
  <c r="M32" i="8"/>
  <c r="M11" i="8"/>
  <c r="M10" i="8"/>
  <c r="M12" i="8"/>
  <c r="M10" i="11"/>
  <c r="M11" i="11"/>
  <c r="M36" i="11"/>
  <c r="M34" i="11"/>
  <c r="M35" i="11"/>
  <c r="M24" i="11"/>
  <c r="M25" i="11"/>
  <c r="N15" i="8"/>
  <c r="N16" i="8"/>
  <c r="N17" i="8"/>
  <c r="N18" i="8"/>
  <c r="N19" i="8"/>
  <c r="N20" i="8"/>
  <c r="N21" i="8"/>
  <c r="N22" i="8"/>
  <c r="N23" i="8"/>
  <c r="N24" i="8"/>
  <c r="N28" i="8"/>
  <c r="N29" i="8"/>
  <c r="N30" i="8"/>
  <c r="N32" i="8"/>
  <c r="N11" i="8"/>
  <c r="N12" i="8" s="1"/>
  <c r="N10" i="8"/>
  <c r="N10" i="11"/>
  <c r="N11" i="11"/>
  <c r="N36" i="11"/>
  <c r="N34" i="11"/>
  <c r="N35" i="11"/>
  <c r="N24" i="11"/>
  <c r="N25" i="11"/>
  <c r="C11" i="11"/>
  <c r="C24" i="11"/>
  <c r="C25" i="11"/>
  <c r="B25" i="24"/>
  <c r="C25" i="10"/>
  <c r="D25" i="10"/>
  <c r="E25" i="10"/>
  <c r="F25" i="10"/>
  <c r="G25" i="10"/>
  <c r="H25" i="10"/>
  <c r="I25" i="10"/>
  <c r="J25" i="10"/>
  <c r="K25" i="10"/>
  <c r="L25" i="10"/>
  <c r="M25" i="10"/>
  <c r="B25" i="10"/>
  <c r="N25" i="9"/>
  <c r="N11" i="29"/>
  <c r="N13" i="29"/>
  <c r="N15" i="29"/>
  <c r="N16" i="29"/>
  <c r="N61" i="1"/>
  <c r="O11" i="29"/>
  <c r="O13" i="29"/>
  <c r="O15" i="29"/>
  <c r="O16" i="29"/>
  <c r="O61" i="1"/>
  <c r="P11" i="29"/>
  <c r="P13" i="29"/>
  <c r="P15" i="29"/>
  <c r="P16" i="29"/>
  <c r="P61" i="1"/>
  <c r="Q11" i="29"/>
  <c r="Q13" i="29"/>
  <c r="Q15" i="29"/>
  <c r="Q16" i="29"/>
  <c r="Q61" i="1"/>
  <c r="R11" i="29"/>
  <c r="R13" i="29"/>
  <c r="R15" i="29"/>
  <c r="R16" i="29"/>
  <c r="R61" i="1"/>
  <c r="S11" i="29"/>
  <c r="S13" i="29"/>
  <c r="S15" i="29"/>
  <c r="S16" i="29"/>
  <c r="S61" i="1"/>
  <c r="T11" i="29"/>
  <c r="T13" i="29"/>
  <c r="T15" i="29"/>
  <c r="T16" i="29"/>
  <c r="T61" i="1"/>
  <c r="U11" i="29"/>
  <c r="U13" i="29"/>
  <c r="U15" i="29"/>
  <c r="U16" i="29"/>
  <c r="U61" i="1"/>
  <c r="V11" i="29"/>
  <c r="V13" i="29"/>
  <c r="V15" i="29"/>
  <c r="V16" i="29"/>
  <c r="V61" i="1"/>
  <c r="W11" i="29"/>
  <c r="W13" i="29"/>
  <c r="W15" i="29"/>
  <c r="W16" i="29"/>
  <c r="W61" i="1"/>
  <c r="X11" i="29"/>
  <c r="X13" i="29"/>
  <c r="X15" i="29"/>
  <c r="X16" i="29"/>
  <c r="X61" i="1"/>
  <c r="Y11" i="29"/>
  <c r="Y13" i="29"/>
  <c r="Y15" i="29"/>
  <c r="Y16" i="29"/>
  <c r="Y61" i="1"/>
  <c r="Z11" i="29"/>
  <c r="Z13" i="29"/>
  <c r="Z15" i="29"/>
  <c r="Z16" i="29"/>
  <c r="Z61" i="1"/>
  <c r="AA11" i="29"/>
  <c r="AA13" i="29"/>
  <c r="AA15" i="29"/>
  <c r="AA16" i="29"/>
  <c r="AA61" i="1"/>
  <c r="AB11" i="29"/>
  <c r="AB13" i="29"/>
  <c r="AB15" i="29"/>
  <c r="AB16" i="29"/>
  <c r="AB61" i="1"/>
  <c r="AC11" i="29"/>
  <c r="AC13" i="29"/>
  <c r="AC15" i="29"/>
  <c r="AC16" i="29"/>
  <c r="AC61" i="1"/>
  <c r="AD11" i="29"/>
  <c r="AD13" i="29"/>
  <c r="AD15" i="29"/>
  <c r="AD16" i="29"/>
  <c r="AD61" i="1"/>
  <c r="AE11" i="29"/>
  <c r="AE13" i="29"/>
  <c r="AE15" i="29"/>
  <c r="AE16" i="29"/>
  <c r="AE61" i="1"/>
  <c r="AF11" i="29"/>
  <c r="AF13" i="29"/>
  <c r="AF15" i="29"/>
  <c r="AF16" i="29"/>
  <c r="AF61" i="1"/>
  <c r="AG11" i="29"/>
  <c r="AG13" i="29"/>
  <c r="AG15" i="29"/>
  <c r="AG16" i="29"/>
  <c r="AG61" i="1"/>
  <c r="AH11" i="29"/>
  <c r="AH13" i="29"/>
  <c r="AH15" i="29"/>
  <c r="AH16" i="29"/>
  <c r="AH61" i="1"/>
  <c r="AI11" i="29"/>
  <c r="AI13" i="29"/>
  <c r="AI15" i="29"/>
  <c r="AI16" i="29"/>
  <c r="AI61" i="1"/>
  <c r="AJ11" i="29"/>
  <c r="AJ13" i="29"/>
  <c r="AJ15" i="29"/>
  <c r="AJ16" i="29"/>
  <c r="AJ61" i="1"/>
  <c r="AK11" i="29"/>
  <c r="AK13" i="29"/>
  <c r="AK15" i="29"/>
  <c r="AK16" i="29"/>
  <c r="AK61" i="1"/>
  <c r="AL11" i="29"/>
  <c r="AL13" i="29"/>
  <c r="AL15" i="29"/>
  <c r="AL16" i="29"/>
  <c r="AL61" i="1"/>
  <c r="AM11" i="29"/>
  <c r="AM13" i="29"/>
  <c r="AM15" i="29"/>
  <c r="AM16" i="29"/>
  <c r="AM61" i="1"/>
  <c r="AN11" i="29"/>
  <c r="AN13" i="29"/>
  <c r="AN15" i="29"/>
  <c r="AN16" i="29"/>
  <c r="AN61" i="1"/>
  <c r="AO11" i="29"/>
  <c r="AO13" i="29"/>
  <c r="AO15" i="29"/>
  <c r="AO16" i="29"/>
  <c r="AO61" i="1"/>
  <c r="AP11" i="29"/>
  <c r="AP13" i="29"/>
  <c r="AP15" i="29"/>
  <c r="AP16" i="29"/>
  <c r="AP61" i="1"/>
  <c r="AQ11" i="29"/>
  <c r="AQ13" i="29"/>
  <c r="AQ15" i="29"/>
  <c r="AQ16" i="29"/>
  <c r="AQ61" i="1"/>
  <c r="AR11" i="29"/>
  <c r="AR13" i="29"/>
  <c r="AR15" i="29"/>
  <c r="AR16" i="29"/>
  <c r="AR61" i="1"/>
  <c r="AS11" i="29"/>
  <c r="AS13" i="29"/>
  <c r="AS15" i="29"/>
  <c r="AS16" i="29"/>
  <c r="AS61" i="1"/>
  <c r="AT11" i="29"/>
  <c r="AT13" i="29"/>
  <c r="AT15" i="29"/>
  <c r="AT16" i="29"/>
  <c r="AT61" i="1"/>
  <c r="AU11" i="29"/>
  <c r="AU13" i="29"/>
  <c r="AU15" i="29"/>
  <c r="AU16" i="29"/>
  <c r="AU61" i="1"/>
  <c r="AV11" i="29"/>
  <c r="AV13" i="29"/>
  <c r="AV15" i="29"/>
  <c r="AV16" i="29"/>
  <c r="AV61" i="1"/>
  <c r="AW11" i="29"/>
  <c r="AW13" i="29"/>
  <c r="AW15" i="29"/>
  <c r="AW16" i="29"/>
  <c r="AW61" i="1"/>
  <c r="AX11" i="29"/>
  <c r="AX13" i="29"/>
  <c r="AX15" i="29"/>
  <c r="AX16" i="29"/>
  <c r="AX61" i="1"/>
  <c r="AY11" i="29"/>
  <c r="AY13" i="29"/>
  <c r="AY15" i="29"/>
  <c r="AY16" i="29"/>
  <c r="AY61" i="1"/>
  <c r="AZ11" i="29"/>
  <c r="AZ13" i="29"/>
  <c r="AZ15" i="29"/>
  <c r="AZ16" i="29"/>
  <c r="AZ61" i="1"/>
  <c r="BA11" i="29"/>
  <c r="BA13" i="29"/>
  <c r="BA15" i="29"/>
  <c r="BA16" i="29"/>
  <c r="BA61" i="1"/>
  <c r="BB11" i="29"/>
  <c r="BB13" i="29"/>
  <c r="BB15" i="29"/>
  <c r="BB16" i="29"/>
  <c r="BB61" i="1"/>
  <c r="BC11" i="29"/>
  <c r="BC13" i="29"/>
  <c r="BC15" i="29"/>
  <c r="BC16" i="29"/>
  <c r="BC61" i="1"/>
  <c r="BD11" i="29"/>
  <c r="BD13" i="29"/>
  <c r="BD15" i="29"/>
  <c r="BD16" i="29"/>
  <c r="BD61" i="1"/>
  <c r="BE11" i="29"/>
  <c r="BE13" i="29"/>
  <c r="BE15" i="29"/>
  <c r="BE16" i="29"/>
  <c r="BE61" i="1"/>
  <c r="BF11" i="29"/>
  <c r="BF13" i="29"/>
  <c r="BF15" i="29"/>
  <c r="BF16" i="29"/>
  <c r="BF61" i="1"/>
  <c r="BG11" i="29"/>
  <c r="BG13" i="29"/>
  <c r="BG15" i="29"/>
  <c r="BG16" i="29"/>
  <c r="BG61" i="1"/>
  <c r="BH11" i="29"/>
  <c r="BH13" i="29"/>
  <c r="BH15" i="29"/>
  <c r="BH16" i="29"/>
  <c r="BH61" i="1"/>
  <c r="BI11" i="29"/>
  <c r="BI13" i="29"/>
  <c r="BI15" i="29"/>
  <c r="BI16" i="29"/>
  <c r="BI61" i="1"/>
  <c r="N21" i="29"/>
  <c r="N23" i="29"/>
  <c r="N25" i="29"/>
  <c r="N26" i="29"/>
  <c r="N34" i="1"/>
  <c r="N62" i="1"/>
  <c r="O21" i="29"/>
  <c r="O23" i="29"/>
  <c r="O25" i="29"/>
  <c r="O26" i="29"/>
  <c r="O34" i="1"/>
  <c r="O62" i="1"/>
  <c r="P21" i="29"/>
  <c r="P23" i="29"/>
  <c r="P25" i="29"/>
  <c r="P26" i="29"/>
  <c r="P34" i="1"/>
  <c r="P62" i="1"/>
  <c r="Q21" i="29"/>
  <c r="Q23" i="29"/>
  <c r="Q25" i="29"/>
  <c r="Q26" i="29"/>
  <c r="Q34" i="1"/>
  <c r="Q62" i="1"/>
  <c r="R21" i="29"/>
  <c r="R23" i="29"/>
  <c r="R25" i="29"/>
  <c r="R26" i="29"/>
  <c r="R34" i="1"/>
  <c r="R62" i="1"/>
  <c r="S21" i="29"/>
  <c r="S23" i="29"/>
  <c r="S25" i="29"/>
  <c r="S26" i="29"/>
  <c r="S34" i="1"/>
  <c r="S62" i="1"/>
  <c r="T21" i="29"/>
  <c r="T23" i="29"/>
  <c r="T25" i="29"/>
  <c r="T26" i="29"/>
  <c r="T34" i="1"/>
  <c r="T62" i="1"/>
  <c r="U21" i="29"/>
  <c r="U23" i="29"/>
  <c r="U25" i="29"/>
  <c r="U26" i="29"/>
  <c r="U34" i="1"/>
  <c r="U62" i="1"/>
  <c r="V21" i="29"/>
  <c r="V23" i="29"/>
  <c r="V25" i="29"/>
  <c r="V26" i="29"/>
  <c r="V34" i="1"/>
  <c r="V62" i="1"/>
  <c r="W21" i="29"/>
  <c r="W23" i="29"/>
  <c r="W25" i="29"/>
  <c r="W26" i="29"/>
  <c r="W34" i="1"/>
  <c r="W62" i="1"/>
  <c r="X21" i="29"/>
  <c r="X23" i="29"/>
  <c r="X25" i="29"/>
  <c r="X26" i="29"/>
  <c r="X34" i="1"/>
  <c r="X62" i="1"/>
  <c r="Y21" i="29"/>
  <c r="Y23" i="29"/>
  <c r="Y25" i="29"/>
  <c r="Y26" i="29"/>
  <c r="Y34" i="1"/>
  <c r="Y62" i="1"/>
  <c r="Z21" i="29"/>
  <c r="Z23" i="29"/>
  <c r="Z25" i="29"/>
  <c r="Z26" i="29"/>
  <c r="Z34" i="1"/>
  <c r="Z62" i="1"/>
  <c r="AA21" i="29"/>
  <c r="AA23" i="29"/>
  <c r="AA25" i="29"/>
  <c r="AA26" i="29"/>
  <c r="AA34" i="1"/>
  <c r="AA62" i="1"/>
  <c r="AB21" i="29"/>
  <c r="AB23" i="29"/>
  <c r="AB25" i="29"/>
  <c r="AB26" i="29"/>
  <c r="AB34" i="1"/>
  <c r="AB62" i="1"/>
  <c r="AC21" i="29"/>
  <c r="AC23" i="29"/>
  <c r="AC25" i="29"/>
  <c r="AC26" i="29"/>
  <c r="AC34" i="1"/>
  <c r="AC62" i="1"/>
  <c r="AD21" i="29"/>
  <c r="AD23" i="29"/>
  <c r="AD25" i="29"/>
  <c r="AD26" i="29"/>
  <c r="AD34" i="1"/>
  <c r="AD62" i="1"/>
  <c r="AE21" i="29"/>
  <c r="AE23" i="29"/>
  <c r="AE25" i="29"/>
  <c r="AE26" i="29"/>
  <c r="AE34" i="1"/>
  <c r="AE62" i="1"/>
  <c r="AF21" i="29"/>
  <c r="AF23" i="29"/>
  <c r="AF25" i="29"/>
  <c r="AF26" i="29"/>
  <c r="AF34" i="1"/>
  <c r="AF62" i="1"/>
  <c r="AG21" i="29"/>
  <c r="AG23" i="29"/>
  <c r="AG25" i="29"/>
  <c r="AG26" i="29"/>
  <c r="AG34" i="1"/>
  <c r="AG62" i="1"/>
  <c r="AH21" i="29"/>
  <c r="AH23" i="29"/>
  <c r="AH25" i="29"/>
  <c r="AH26" i="29"/>
  <c r="AH34" i="1"/>
  <c r="AH62" i="1"/>
  <c r="AI21" i="29"/>
  <c r="AI23" i="29"/>
  <c r="AI25" i="29"/>
  <c r="AI26" i="29"/>
  <c r="AI34" i="1"/>
  <c r="AI62" i="1"/>
  <c r="AJ21" i="29"/>
  <c r="AJ23" i="29"/>
  <c r="AJ25" i="29"/>
  <c r="AJ26" i="29"/>
  <c r="AJ34" i="1"/>
  <c r="AJ62" i="1"/>
  <c r="AK21" i="29"/>
  <c r="AK23" i="29"/>
  <c r="AK25" i="29"/>
  <c r="AK26" i="29"/>
  <c r="AK34" i="1"/>
  <c r="AK62" i="1"/>
  <c r="AL21" i="29"/>
  <c r="AL23" i="29"/>
  <c r="AL25" i="29"/>
  <c r="AL26" i="29"/>
  <c r="AL34" i="1"/>
  <c r="AL62" i="1"/>
  <c r="AM21" i="29"/>
  <c r="AM23" i="29"/>
  <c r="AM25" i="29"/>
  <c r="AM26" i="29"/>
  <c r="AM34" i="1"/>
  <c r="AM62" i="1"/>
  <c r="AN21" i="29"/>
  <c r="AN23" i="29"/>
  <c r="AN25" i="29"/>
  <c r="AN26" i="29"/>
  <c r="AN34" i="1"/>
  <c r="AN62" i="1"/>
  <c r="AO21" i="29"/>
  <c r="AO23" i="29"/>
  <c r="AO25" i="29"/>
  <c r="AO26" i="29"/>
  <c r="AO34" i="1"/>
  <c r="AO62" i="1"/>
  <c r="AP21" i="29"/>
  <c r="AP23" i="29"/>
  <c r="AP25" i="29"/>
  <c r="AP26" i="29"/>
  <c r="AP34" i="1"/>
  <c r="AP62" i="1"/>
  <c r="AQ21" i="29"/>
  <c r="AQ23" i="29"/>
  <c r="AQ25" i="29"/>
  <c r="AQ26" i="29"/>
  <c r="AQ34" i="1"/>
  <c r="AQ62" i="1"/>
  <c r="AR21" i="29"/>
  <c r="AR23" i="29"/>
  <c r="AR25" i="29"/>
  <c r="AR26" i="29"/>
  <c r="AR34" i="1"/>
  <c r="AR62" i="1"/>
  <c r="AS21" i="29"/>
  <c r="AS23" i="29"/>
  <c r="AS25" i="29"/>
  <c r="AS26" i="29"/>
  <c r="AS34" i="1"/>
  <c r="AS62" i="1"/>
  <c r="AT21" i="29"/>
  <c r="AT23" i="29"/>
  <c r="AT25" i="29"/>
  <c r="AT26" i="29"/>
  <c r="AT34" i="1"/>
  <c r="AT62" i="1"/>
  <c r="AU21" i="29"/>
  <c r="AU23" i="29"/>
  <c r="AU25" i="29"/>
  <c r="AU26" i="29"/>
  <c r="AU34" i="1"/>
  <c r="AU62" i="1"/>
  <c r="AV21" i="29"/>
  <c r="AV23" i="29"/>
  <c r="AV25" i="29"/>
  <c r="AV26" i="29"/>
  <c r="AV34" i="1"/>
  <c r="AV62" i="1"/>
  <c r="AW21" i="29"/>
  <c r="AW23" i="29"/>
  <c r="AW25" i="29"/>
  <c r="AW26" i="29"/>
  <c r="AW34" i="1"/>
  <c r="AW62" i="1"/>
  <c r="AX21" i="29"/>
  <c r="AX23" i="29"/>
  <c r="AX25" i="29"/>
  <c r="AX26" i="29"/>
  <c r="AX34" i="1"/>
  <c r="AX62" i="1"/>
  <c r="AY21" i="29"/>
  <c r="AY23" i="29"/>
  <c r="AY25" i="29"/>
  <c r="AY26" i="29"/>
  <c r="AY34" i="1"/>
  <c r="AY62" i="1"/>
  <c r="AZ21" i="29"/>
  <c r="AZ23" i="29"/>
  <c r="AZ25" i="29"/>
  <c r="AZ26" i="29"/>
  <c r="AZ34" i="1"/>
  <c r="AZ62" i="1"/>
  <c r="BA21" i="29"/>
  <c r="BA23" i="29"/>
  <c r="BA25" i="29"/>
  <c r="BA26" i="29"/>
  <c r="BA34" i="1"/>
  <c r="BA62" i="1"/>
  <c r="BB21" i="29"/>
  <c r="BB23" i="29"/>
  <c r="BB25" i="29"/>
  <c r="BB26" i="29"/>
  <c r="BB34" i="1"/>
  <c r="BB62" i="1"/>
  <c r="BC21" i="29"/>
  <c r="BC23" i="29"/>
  <c r="BC25" i="29"/>
  <c r="BC26" i="29"/>
  <c r="BC34" i="1"/>
  <c r="BC62" i="1"/>
  <c r="BD21" i="29"/>
  <c r="BD23" i="29"/>
  <c r="BD25" i="29"/>
  <c r="BD26" i="29"/>
  <c r="BD34" i="1"/>
  <c r="BD62" i="1"/>
  <c r="BE21" i="29"/>
  <c r="BE23" i="29"/>
  <c r="BE25" i="29"/>
  <c r="BE26" i="29"/>
  <c r="BE34" i="1"/>
  <c r="BE62" i="1"/>
  <c r="BF21" i="29"/>
  <c r="BF23" i="29"/>
  <c r="BF25" i="29"/>
  <c r="BF26" i="29"/>
  <c r="BF34" i="1"/>
  <c r="BF62" i="1"/>
  <c r="BG21" i="29"/>
  <c r="BG23" i="29"/>
  <c r="BG25" i="29"/>
  <c r="BG26" i="29"/>
  <c r="BG34" i="1"/>
  <c r="BG62" i="1"/>
  <c r="BH21" i="29"/>
  <c r="BH23" i="29"/>
  <c r="BH25" i="29"/>
  <c r="BH26" i="29"/>
  <c r="BH34" i="1"/>
  <c r="BH62" i="1"/>
  <c r="BI21" i="29"/>
  <c r="BI23" i="29"/>
  <c r="BI25" i="29"/>
  <c r="BI26" i="29"/>
  <c r="BI34" i="1"/>
  <c r="BI62" i="1"/>
  <c r="N31" i="29"/>
  <c r="N34" i="29"/>
  <c r="N35" i="29"/>
  <c r="N36" i="1"/>
  <c r="N63" i="1"/>
  <c r="O31" i="29"/>
  <c r="O34" i="29"/>
  <c r="O35" i="29"/>
  <c r="O36" i="1"/>
  <c r="O63" i="1"/>
  <c r="P31" i="29"/>
  <c r="P34" i="29"/>
  <c r="P35" i="29"/>
  <c r="P36" i="1"/>
  <c r="P63" i="1"/>
  <c r="Q31" i="29"/>
  <c r="Q34" i="29"/>
  <c r="Q35" i="29"/>
  <c r="Q36" i="1"/>
  <c r="Q63" i="1"/>
  <c r="R31" i="29"/>
  <c r="R34" i="29"/>
  <c r="R35" i="29"/>
  <c r="R36" i="1"/>
  <c r="R63" i="1"/>
  <c r="S31" i="29"/>
  <c r="S34" i="29"/>
  <c r="S35" i="29"/>
  <c r="S36" i="1"/>
  <c r="S63" i="1"/>
  <c r="T31" i="29"/>
  <c r="T34" i="29"/>
  <c r="T35" i="29"/>
  <c r="T36" i="1"/>
  <c r="T63" i="1"/>
  <c r="U31" i="29"/>
  <c r="U34" i="29"/>
  <c r="U35" i="29"/>
  <c r="U36" i="1"/>
  <c r="U63" i="1"/>
  <c r="V31" i="29"/>
  <c r="V34" i="29"/>
  <c r="V35" i="29"/>
  <c r="V36" i="1"/>
  <c r="V63" i="1"/>
  <c r="W31" i="29"/>
  <c r="W34" i="29"/>
  <c r="W35" i="29"/>
  <c r="W36" i="1"/>
  <c r="W63" i="1"/>
  <c r="X31" i="29"/>
  <c r="X34" i="29"/>
  <c r="X35" i="29"/>
  <c r="X36" i="1"/>
  <c r="X63" i="1"/>
  <c r="Y31" i="29"/>
  <c r="Y34" i="29"/>
  <c r="Y35" i="29"/>
  <c r="Y36" i="1"/>
  <c r="Y63" i="1"/>
  <c r="Z31" i="29"/>
  <c r="Z34" i="29"/>
  <c r="Z35" i="29"/>
  <c r="Z36" i="1"/>
  <c r="Z63" i="1"/>
  <c r="AA31" i="29"/>
  <c r="AA34" i="29"/>
  <c r="AA35" i="29"/>
  <c r="AA36" i="1"/>
  <c r="AA63" i="1"/>
  <c r="AB31" i="29"/>
  <c r="AB34" i="29"/>
  <c r="AB35" i="29"/>
  <c r="AB36" i="1"/>
  <c r="AB63" i="1"/>
  <c r="AC31" i="29"/>
  <c r="AC34" i="29"/>
  <c r="AC35" i="29"/>
  <c r="AC36" i="1"/>
  <c r="AC63" i="1"/>
  <c r="AD31" i="29"/>
  <c r="AD34" i="29"/>
  <c r="AD35" i="29"/>
  <c r="AD36" i="1"/>
  <c r="AD63" i="1"/>
  <c r="AE31" i="29"/>
  <c r="AE34" i="29"/>
  <c r="AE35" i="29"/>
  <c r="AE36" i="1"/>
  <c r="AE63" i="1"/>
  <c r="AF31" i="29"/>
  <c r="AF34" i="29"/>
  <c r="AF35" i="29"/>
  <c r="AF36" i="1"/>
  <c r="AF63" i="1"/>
  <c r="AG31" i="29"/>
  <c r="AG34" i="29"/>
  <c r="AG35" i="29"/>
  <c r="AG36" i="1"/>
  <c r="AG63" i="1"/>
  <c r="AH31" i="29"/>
  <c r="AH34" i="29"/>
  <c r="AH35" i="29"/>
  <c r="AH36" i="1"/>
  <c r="AH63" i="1"/>
  <c r="AI31" i="29"/>
  <c r="AI34" i="29"/>
  <c r="AI35" i="29"/>
  <c r="AI36" i="1"/>
  <c r="AI63" i="1"/>
  <c r="AJ31" i="29"/>
  <c r="AJ34" i="29"/>
  <c r="AJ35" i="29"/>
  <c r="AJ36" i="1"/>
  <c r="AJ63" i="1"/>
  <c r="AK31" i="29"/>
  <c r="AK34" i="29"/>
  <c r="AK35" i="29"/>
  <c r="AK36" i="1"/>
  <c r="AK63" i="1"/>
  <c r="AL31" i="29"/>
  <c r="AL34" i="29"/>
  <c r="AL35" i="29"/>
  <c r="AL36" i="1"/>
  <c r="AL63" i="1"/>
  <c r="AM31" i="29"/>
  <c r="AM34" i="29"/>
  <c r="AM35" i="29"/>
  <c r="AM36" i="1"/>
  <c r="AM63" i="1"/>
  <c r="AN31" i="29"/>
  <c r="AN34" i="29"/>
  <c r="AN35" i="29"/>
  <c r="AN36" i="1"/>
  <c r="AN63" i="1"/>
  <c r="AO31" i="29"/>
  <c r="AO34" i="29"/>
  <c r="AO35" i="29"/>
  <c r="AO36" i="1"/>
  <c r="AO63" i="1"/>
  <c r="AP31" i="29"/>
  <c r="AP34" i="29"/>
  <c r="AP35" i="29"/>
  <c r="AP36" i="1"/>
  <c r="AP63" i="1"/>
  <c r="AQ31" i="29"/>
  <c r="AQ34" i="29"/>
  <c r="AQ35" i="29"/>
  <c r="AQ36" i="1"/>
  <c r="AQ63" i="1"/>
  <c r="AR31" i="29"/>
  <c r="AR34" i="29"/>
  <c r="AR35" i="29"/>
  <c r="AR36" i="1"/>
  <c r="AR63" i="1"/>
  <c r="AS31" i="29"/>
  <c r="AS34" i="29"/>
  <c r="AS35" i="29"/>
  <c r="AS36" i="1"/>
  <c r="AS63" i="1"/>
  <c r="AT31" i="29"/>
  <c r="AT34" i="29"/>
  <c r="AT35" i="29"/>
  <c r="AT36" i="1"/>
  <c r="AT63" i="1"/>
  <c r="AU31" i="29"/>
  <c r="AU34" i="29"/>
  <c r="AU35" i="29"/>
  <c r="AU36" i="1"/>
  <c r="AU63" i="1"/>
  <c r="AV31" i="29"/>
  <c r="AV34" i="29"/>
  <c r="AV35" i="29"/>
  <c r="AV36" i="1"/>
  <c r="AV63" i="1"/>
  <c r="AW31" i="29"/>
  <c r="AW34" i="29"/>
  <c r="AW35" i="29"/>
  <c r="AW36" i="1"/>
  <c r="AW63" i="1"/>
  <c r="AX31" i="29"/>
  <c r="AX34" i="29"/>
  <c r="AX35" i="29"/>
  <c r="AX36" i="1"/>
  <c r="AX63" i="1"/>
  <c r="AY31" i="29"/>
  <c r="AY34" i="29"/>
  <c r="AY35" i="29"/>
  <c r="AY36" i="1"/>
  <c r="AY63" i="1"/>
  <c r="AZ31" i="29"/>
  <c r="AZ34" i="29"/>
  <c r="AZ35" i="29"/>
  <c r="AZ36" i="1"/>
  <c r="AZ63" i="1"/>
  <c r="BA31" i="29"/>
  <c r="BA34" i="29"/>
  <c r="BA35" i="29"/>
  <c r="BA36" i="1"/>
  <c r="BA63" i="1"/>
  <c r="BB31" i="29"/>
  <c r="BB34" i="29"/>
  <c r="BB35" i="29"/>
  <c r="BB36" i="1"/>
  <c r="BB63" i="1"/>
  <c r="BC31" i="29"/>
  <c r="BC34" i="29"/>
  <c r="BC35" i="29"/>
  <c r="BC36" i="1"/>
  <c r="BC63" i="1"/>
  <c r="BD31" i="29"/>
  <c r="BD34" i="29"/>
  <c r="BD35" i="29"/>
  <c r="BD36" i="1"/>
  <c r="BD63" i="1"/>
  <c r="BE31" i="29"/>
  <c r="BE34" i="29"/>
  <c r="BE35" i="29"/>
  <c r="BE36" i="1"/>
  <c r="BE63" i="1"/>
  <c r="BF31" i="29"/>
  <c r="BF34" i="29"/>
  <c r="BF35" i="29"/>
  <c r="BF36" i="1"/>
  <c r="BF63" i="1"/>
  <c r="BG31" i="29"/>
  <c r="BG34" i="29"/>
  <c r="BG35" i="29"/>
  <c r="BG36" i="1"/>
  <c r="BG63" i="1"/>
  <c r="BH31" i="29"/>
  <c r="BH34" i="29"/>
  <c r="BH35" i="29"/>
  <c r="BH36" i="1"/>
  <c r="BH63" i="1"/>
  <c r="BI31" i="29"/>
  <c r="BI34" i="29"/>
  <c r="BI35" i="29"/>
  <c r="BI36" i="1"/>
  <c r="BI63" i="1"/>
  <c r="C27" i="22"/>
  <c r="D27" i="22"/>
  <c r="E27" i="22"/>
  <c r="F27" i="22"/>
  <c r="G27" i="22"/>
  <c r="H27" i="22"/>
  <c r="I27" i="22"/>
  <c r="J27" i="22"/>
  <c r="K27" i="22"/>
  <c r="L27" i="22"/>
  <c r="M27" i="22"/>
  <c r="B27" i="22"/>
  <c r="A27" i="22"/>
  <c r="C27" i="21"/>
  <c r="D27" i="21"/>
  <c r="E27" i="21"/>
  <c r="F27" i="21"/>
  <c r="G27" i="21"/>
  <c r="H27" i="21"/>
  <c r="I27" i="21"/>
  <c r="J27" i="21"/>
  <c r="K27" i="21"/>
  <c r="L27" i="21"/>
  <c r="M27" i="21"/>
  <c r="B27" i="21"/>
  <c r="A27" i="21"/>
  <c r="C27" i="7"/>
  <c r="D27" i="7"/>
  <c r="E27" i="7"/>
  <c r="F27" i="7"/>
  <c r="G27" i="7"/>
  <c r="H27" i="7"/>
  <c r="I27" i="7"/>
  <c r="J27" i="7"/>
  <c r="K27" i="7"/>
  <c r="L27" i="7"/>
  <c r="M27" i="7"/>
  <c r="B27" i="7"/>
  <c r="A27" i="7"/>
  <c r="C27" i="6"/>
  <c r="D27" i="6"/>
  <c r="E27" i="6"/>
  <c r="F27" i="6"/>
  <c r="G27" i="6"/>
  <c r="H27" i="6"/>
  <c r="I27" i="6"/>
  <c r="J27" i="6"/>
  <c r="K27" i="6"/>
  <c r="L27" i="6"/>
  <c r="M27" i="6"/>
  <c r="B27" i="6"/>
  <c r="A27" i="6"/>
  <c r="A27" i="5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Q65" i="1"/>
  <c r="E30" i="6" s="1"/>
  <c r="U65" i="1"/>
  <c r="I30" i="6" s="1"/>
  <c r="AC65" i="1"/>
  <c r="E30" i="7" s="1"/>
  <c r="AG65" i="1"/>
  <c r="I30" i="7" s="1"/>
  <c r="AK65" i="1"/>
  <c r="M30" i="7" s="1"/>
  <c r="AS65" i="1"/>
  <c r="I30" i="21" s="1"/>
  <c r="AW65" i="1"/>
  <c r="M30" i="21" s="1"/>
  <c r="BA65" i="1"/>
  <c r="E30" i="22" s="1"/>
  <c r="BI65" i="1"/>
  <c r="M30" i="22" s="1"/>
  <c r="A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N44" i="1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F69" i="2"/>
  <c r="C69" i="2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C7" i="22"/>
  <c r="D7" i="22"/>
  <c r="E7" i="22"/>
  <c r="F7" i="22"/>
  <c r="G7" i="22"/>
  <c r="H7" i="22"/>
  <c r="I7" i="22"/>
  <c r="J7" i="22"/>
  <c r="K7" i="22"/>
  <c r="L7" i="22"/>
  <c r="M7" i="22"/>
  <c r="B7" i="22"/>
  <c r="M7" i="21"/>
  <c r="C7" i="21"/>
  <c r="D7" i="21"/>
  <c r="E7" i="21"/>
  <c r="F7" i="21"/>
  <c r="G7" i="21"/>
  <c r="H7" i="21"/>
  <c r="I7" i="21"/>
  <c r="J7" i="21"/>
  <c r="K7" i="21"/>
  <c r="L7" i="21"/>
  <c r="B7" i="21"/>
  <c r="C7" i="7"/>
  <c r="D7" i="7"/>
  <c r="E7" i="7"/>
  <c r="F7" i="7"/>
  <c r="G7" i="7"/>
  <c r="H7" i="7"/>
  <c r="I7" i="7"/>
  <c r="J7" i="7"/>
  <c r="K7" i="7"/>
  <c r="L7" i="7"/>
  <c r="M7" i="7"/>
  <c r="B7" i="7"/>
  <c r="M7" i="6"/>
  <c r="C7" i="6"/>
  <c r="D7" i="6"/>
  <c r="E7" i="6"/>
  <c r="F7" i="6"/>
  <c r="G7" i="6"/>
  <c r="H7" i="6"/>
  <c r="I7" i="6"/>
  <c r="J7" i="6"/>
  <c r="K7" i="6"/>
  <c r="L7" i="6"/>
  <c r="B7" i="6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8" i="6"/>
  <c r="B10" i="6"/>
  <c r="B11" i="6"/>
  <c r="B12" i="6"/>
  <c r="B14" i="6"/>
  <c r="B18" i="6"/>
  <c r="B19" i="6"/>
  <c r="B20" i="6"/>
  <c r="B21" i="6"/>
  <c r="B22" i="6"/>
  <c r="B23" i="6"/>
  <c r="B24" i="6"/>
  <c r="B25" i="6"/>
  <c r="B26" i="6"/>
  <c r="B29" i="6"/>
  <c r="C8" i="6"/>
  <c r="C10" i="6"/>
  <c r="C11" i="6"/>
  <c r="C12" i="6"/>
  <c r="C14" i="6"/>
  <c r="C18" i="6"/>
  <c r="C19" i="6"/>
  <c r="C20" i="6"/>
  <c r="C21" i="6"/>
  <c r="C22" i="6"/>
  <c r="C23" i="6"/>
  <c r="C24" i="6"/>
  <c r="C25" i="6"/>
  <c r="C26" i="6"/>
  <c r="C29" i="6"/>
  <c r="D8" i="6"/>
  <c r="D10" i="6"/>
  <c r="D11" i="6"/>
  <c r="D12" i="6"/>
  <c r="D14" i="6"/>
  <c r="D18" i="6"/>
  <c r="D19" i="6"/>
  <c r="D20" i="6"/>
  <c r="D21" i="6"/>
  <c r="D22" i="6"/>
  <c r="D23" i="6"/>
  <c r="D24" i="6"/>
  <c r="D25" i="6"/>
  <c r="D26" i="6"/>
  <c r="D29" i="6"/>
  <c r="E8" i="6"/>
  <c r="E10" i="6"/>
  <c r="E11" i="6"/>
  <c r="E12" i="6"/>
  <c r="E14" i="6"/>
  <c r="E18" i="6"/>
  <c r="E19" i="6"/>
  <c r="E20" i="6"/>
  <c r="E21" i="6"/>
  <c r="E22" i="6"/>
  <c r="E23" i="6"/>
  <c r="E24" i="6"/>
  <c r="E25" i="6"/>
  <c r="E26" i="6"/>
  <c r="E29" i="6"/>
  <c r="F8" i="6"/>
  <c r="F10" i="6"/>
  <c r="F11" i="6"/>
  <c r="F12" i="6"/>
  <c r="F14" i="6"/>
  <c r="F18" i="6"/>
  <c r="F19" i="6"/>
  <c r="F20" i="6"/>
  <c r="F21" i="6"/>
  <c r="F22" i="6"/>
  <c r="F23" i="6"/>
  <c r="F24" i="6"/>
  <c r="F25" i="6"/>
  <c r="F26" i="6"/>
  <c r="F29" i="6"/>
  <c r="G8" i="6"/>
  <c r="G10" i="6"/>
  <c r="G11" i="6"/>
  <c r="G12" i="6"/>
  <c r="G14" i="6"/>
  <c r="G18" i="6"/>
  <c r="G19" i="6"/>
  <c r="G20" i="6"/>
  <c r="G21" i="6"/>
  <c r="G22" i="6"/>
  <c r="G23" i="6"/>
  <c r="G24" i="6"/>
  <c r="G25" i="6"/>
  <c r="G26" i="6"/>
  <c r="G29" i="6"/>
  <c r="H8" i="6"/>
  <c r="H10" i="6"/>
  <c r="H11" i="6"/>
  <c r="H12" i="6"/>
  <c r="H14" i="6"/>
  <c r="H18" i="6"/>
  <c r="H19" i="6"/>
  <c r="H20" i="6"/>
  <c r="H21" i="6"/>
  <c r="H22" i="6"/>
  <c r="H23" i="6"/>
  <c r="H24" i="6"/>
  <c r="H25" i="6"/>
  <c r="H26" i="6"/>
  <c r="H29" i="6"/>
  <c r="I8" i="6"/>
  <c r="I10" i="6"/>
  <c r="I11" i="6"/>
  <c r="I12" i="6"/>
  <c r="I14" i="6"/>
  <c r="I18" i="6"/>
  <c r="I19" i="6"/>
  <c r="I20" i="6"/>
  <c r="I21" i="6"/>
  <c r="I22" i="6"/>
  <c r="I23" i="6"/>
  <c r="I24" i="6"/>
  <c r="I25" i="6"/>
  <c r="I26" i="6"/>
  <c r="I29" i="6"/>
  <c r="J8" i="6"/>
  <c r="J10" i="6"/>
  <c r="J11" i="6"/>
  <c r="J12" i="6"/>
  <c r="J14" i="6"/>
  <c r="J18" i="6"/>
  <c r="J19" i="6"/>
  <c r="J20" i="6"/>
  <c r="J21" i="6"/>
  <c r="J22" i="6"/>
  <c r="J23" i="6"/>
  <c r="J24" i="6"/>
  <c r="J25" i="6"/>
  <c r="J26" i="6"/>
  <c r="J29" i="6"/>
  <c r="K8" i="6"/>
  <c r="K10" i="6"/>
  <c r="K11" i="6"/>
  <c r="K12" i="6"/>
  <c r="K14" i="6"/>
  <c r="K18" i="6"/>
  <c r="K19" i="6"/>
  <c r="K20" i="6"/>
  <c r="K21" i="6"/>
  <c r="K22" i="6"/>
  <c r="K23" i="6"/>
  <c r="K24" i="6"/>
  <c r="K25" i="6"/>
  <c r="K26" i="6"/>
  <c r="K29" i="6"/>
  <c r="L8" i="6"/>
  <c r="L10" i="6"/>
  <c r="L11" i="6"/>
  <c r="L12" i="6"/>
  <c r="L14" i="6"/>
  <c r="L18" i="6"/>
  <c r="L19" i="6"/>
  <c r="L20" i="6"/>
  <c r="L21" i="6"/>
  <c r="L22" i="6"/>
  <c r="L23" i="6"/>
  <c r="L24" i="6"/>
  <c r="L25" i="6"/>
  <c r="L26" i="6"/>
  <c r="L29" i="6"/>
  <c r="M8" i="6"/>
  <c r="M10" i="6"/>
  <c r="M11" i="6"/>
  <c r="M12" i="6"/>
  <c r="M14" i="6"/>
  <c r="M18" i="6"/>
  <c r="M19" i="6"/>
  <c r="M20" i="6"/>
  <c r="M21" i="6"/>
  <c r="M22" i="6"/>
  <c r="M23" i="6"/>
  <c r="M24" i="6"/>
  <c r="M25" i="6"/>
  <c r="M26" i="6"/>
  <c r="M29" i="6"/>
  <c r="B36" i="12"/>
  <c r="C36" i="12"/>
  <c r="D36" i="12"/>
  <c r="E36" i="12"/>
  <c r="F36" i="12"/>
  <c r="G36" i="12"/>
  <c r="H36" i="12"/>
  <c r="I36" i="12"/>
  <c r="J36" i="12"/>
  <c r="K36" i="12"/>
  <c r="L36" i="12"/>
  <c r="M36" i="12"/>
  <c r="B8" i="7"/>
  <c r="B10" i="7"/>
  <c r="B11" i="7"/>
  <c r="B12" i="7"/>
  <c r="B14" i="7"/>
  <c r="B18" i="7"/>
  <c r="B19" i="7"/>
  <c r="B20" i="7"/>
  <c r="B21" i="7"/>
  <c r="B22" i="7"/>
  <c r="B23" i="7"/>
  <c r="B24" i="7"/>
  <c r="B25" i="7"/>
  <c r="B26" i="7"/>
  <c r="B29" i="7"/>
  <c r="C8" i="7"/>
  <c r="C10" i="7"/>
  <c r="C11" i="7"/>
  <c r="C12" i="7"/>
  <c r="C14" i="7"/>
  <c r="C18" i="7"/>
  <c r="C19" i="7"/>
  <c r="C20" i="7"/>
  <c r="C21" i="7"/>
  <c r="C22" i="7"/>
  <c r="C23" i="7"/>
  <c r="C24" i="7"/>
  <c r="C25" i="7"/>
  <c r="C26" i="7"/>
  <c r="C29" i="7"/>
  <c r="D8" i="7"/>
  <c r="D10" i="7"/>
  <c r="D11" i="7"/>
  <c r="D12" i="7"/>
  <c r="D14" i="7"/>
  <c r="D18" i="7"/>
  <c r="D19" i="7"/>
  <c r="D20" i="7"/>
  <c r="D21" i="7"/>
  <c r="D22" i="7"/>
  <c r="D23" i="7"/>
  <c r="D24" i="7"/>
  <c r="D25" i="7"/>
  <c r="D26" i="7"/>
  <c r="D29" i="7"/>
  <c r="E8" i="7"/>
  <c r="E10" i="7"/>
  <c r="E11" i="7"/>
  <c r="E12" i="7"/>
  <c r="E14" i="7"/>
  <c r="E18" i="7"/>
  <c r="E19" i="7"/>
  <c r="E20" i="7"/>
  <c r="E21" i="7"/>
  <c r="E22" i="7"/>
  <c r="E23" i="7"/>
  <c r="E24" i="7"/>
  <c r="E25" i="7"/>
  <c r="E26" i="7"/>
  <c r="E29" i="7"/>
  <c r="F8" i="7"/>
  <c r="F10" i="7"/>
  <c r="F11" i="7"/>
  <c r="F12" i="7"/>
  <c r="F14" i="7"/>
  <c r="F18" i="7"/>
  <c r="F19" i="7"/>
  <c r="F20" i="7"/>
  <c r="F21" i="7"/>
  <c r="F22" i="7"/>
  <c r="F23" i="7"/>
  <c r="F24" i="7"/>
  <c r="F25" i="7"/>
  <c r="F26" i="7"/>
  <c r="F29" i="7"/>
  <c r="G8" i="7"/>
  <c r="G10" i="7"/>
  <c r="G11" i="7"/>
  <c r="G12" i="7"/>
  <c r="G14" i="7"/>
  <c r="G18" i="7"/>
  <c r="G19" i="7"/>
  <c r="G20" i="7"/>
  <c r="G21" i="7"/>
  <c r="G22" i="7"/>
  <c r="G23" i="7"/>
  <c r="G24" i="7"/>
  <c r="G25" i="7"/>
  <c r="G26" i="7"/>
  <c r="G29" i="7"/>
  <c r="H8" i="7"/>
  <c r="H10" i="7"/>
  <c r="H11" i="7"/>
  <c r="H12" i="7"/>
  <c r="H14" i="7"/>
  <c r="H18" i="7"/>
  <c r="H19" i="7"/>
  <c r="H20" i="7"/>
  <c r="H21" i="7"/>
  <c r="H22" i="7"/>
  <c r="H23" i="7"/>
  <c r="H24" i="7"/>
  <c r="H25" i="7"/>
  <c r="H26" i="7"/>
  <c r="H29" i="7"/>
  <c r="I8" i="7"/>
  <c r="I10" i="7"/>
  <c r="I11" i="7"/>
  <c r="I12" i="7"/>
  <c r="I14" i="7"/>
  <c r="I18" i="7"/>
  <c r="I19" i="7"/>
  <c r="I20" i="7"/>
  <c r="I21" i="7"/>
  <c r="I22" i="7"/>
  <c r="I23" i="7"/>
  <c r="I24" i="7"/>
  <c r="I25" i="7"/>
  <c r="I26" i="7"/>
  <c r="I29" i="7"/>
  <c r="J8" i="7"/>
  <c r="J10" i="7"/>
  <c r="J11" i="7"/>
  <c r="J12" i="7"/>
  <c r="J14" i="7"/>
  <c r="J18" i="7"/>
  <c r="J19" i="7"/>
  <c r="J20" i="7"/>
  <c r="J21" i="7"/>
  <c r="J22" i="7"/>
  <c r="J23" i="7"/>
  <c r="J24" i="7"/>
  <c r="J25" i="7"/>
  <c r="J26" i="7"/>
  <c r="J29" i="7"/>
  <c r="K8" i="7"/>
  <c r="K10" i="7"/>
  <c r="K11" i="7"/>
  <c r="K12" i="7"/>
  <c r="K14" i="7"/>
  <c r="K18" i="7"/>
  <c r="K19" i="7"/>
  <c r="K20" i="7"/>
  <c r="K21" i="7"/>
  <c r="K22" i="7"/>
  <c r="K23" i="7"/>
  <c r="K24" i="7"/>
  <c r="K25" i="7"/>
  <c r="K26" i="7"/>
  <c r="K29" i="7"/>
  <c r="L8" i="7"/>
  <c r="L10" i="7"/>
  <c r="L11" i="7"/>
  <c r="L12" i="7"/>
  <c r="L14" i="7"/>
  <c r="L18" i="7"/>
  <c r="L19" i="7"/>
  <c r="L20" i="7"/>
  <c r="L21" i="7"/>
  <c r="L22" i="7"/>
  <c r="L23" i="7"/>
  <c r="L24" i="7"/>
  <c r="L25" i="7"/>
  <c r="L26" i="7"/>
  <c r="L29" i="7"/>
  <c r="M8" i="7"/>
  <c r="M10" i="7"/>
  <c r="M11" i="7"/>
  <c r="M12" i="7"/>
  <c r="M14" i="7"/>
  <c r="M18" i="7"/>
  <c r="M19" i="7"/>
  <c r="M20" i="7"/>
  <c r="M21" i="7"/>
  <c r="M22" i="7"/>
  <c r="M23" i="7"/>
  <c r="M24" i="7"/>
  <c r="M25" i="7"/>
  <c r="M26" i="7"/>
  <c r="M29" i="7"/>
  <c r="B36" i="13"/>
  <c r="C36" i="13"/>
  <c r="D36" i="13"/>
  <c r="E36" i="13"/>
  <c r="F36" i="13"/>
  <c r="G36" i="13"/>
  <c r="H36" i="13"/>
  <c r="I36" i="13"/>
  <c r="J36" i="13"/>
  <c r="K36" i="13"/>
  <c r="L36" i="13"/>
  <c r="M36" i="13"/>
  <c r="B8" i="21"/>
  <c r="B10" i="21"/>
  <c r="B11" i="21"/>
  <c r="B12" i="21"/>
  <c r="B14" i="21"/>
  <c r="B18" i="21"/>
  <c r="B19" i="21"/>
  <c r="B20" i="21"/>
  <c r="B21" i="21"/>
  <c r="B22" i="21"/>
  <c r="B23" i="21"/>
  <c r="B24" i="21"/>
  <c r="B25" i="21"/>
  <c r="B26" i="21"/>
  <c r="B29" i="21"/>
  <c r="C8" i="21"/>
  <c r="C10" i="21"/>
  <c r="C11" i="21"/>
  <c r="C12" i="21"/>
  <c r="C14" i="21"/>
  <c r="C18" i="21"/>
  <c r="C19" i="21"/>
  <c r="C20" i="21"/>
  <c r="C21" i="21"/>
  <c r="C22" i="21"/>
  <c r="C23" i="21"/>
  <c r="C24" i="21"/>
  <c r="C25" i="21"/>
  <c r="C26" i="21"/>
  <c r="C29" i="21"/>
  <c r="D8" i="21"/>
  <c r="D10" i="21"/>
  <c r="D11" i="21"/>
  <c r="D12" i="21"/>
  <c r="D14" i="21"/>
  <c r="D18" i="21"/>
  <c r="D19" i="21"/>
  <c r="D20" i="21"/>
  <c r="D21" i="21"/>
  <c r="D22" i="21"/>
  <c r="D23" i="21"/>
  <c r="D24" i="21"/>
  <c r="D25" i="21"/>
  <c r="D26" i="21"/>
  <c r="D29" i="21"/>
  <c r="E8" i="21"/>
  <c r="E10" i="21"/>
  <c r="E11" i="21"/>
  <c r="E12" i="21"/>
  <c r="E14" i="21"/>
  <c r="E18" i="21"/>
  <c r="E19" i="21"/>
  <c r="E20" i="21"/>
  <c r="E21" i="21"/>
  <c r="E22" i="21"/>
  <c r="E23" i="21"/>
  <c r="E24" i="21"/>
  <c r="E25" i="21"/>
  <c r="E26" i="21"/>
  <c r="E29" i="21"/>
  <c r="F8" i="21"/>
  <c r="F10" i="21"/>
  <c r="F11" i="21"/>
  <c r="F12" i="21"/>
  <c r="F14" i="21"/>
  <c r="F18" i="21"/>
  <c r="F19" i="21"/>
  <c r="F20" i="21"/>
  <c r="F21" i="21"/>
  <c r="F22" i="21"/>
  <c r="F23" i="21"/>
  <c r="F24" i="21"/>
  <c r="F25" i="21"/>
  <c r="F26" i="21"/>
  <c r="F29" i="21"/>
  <c r="G8" i="21"/>
  <c r="G10" i="21"/>
  <c r="G11" i="21"/>
  <c r="G12" i="21"/>
  <c r="G14" i="21"/>
  <c r="G18" i="21"/>
  <c r="G19" i="21"/>
  <c r="G20" i="21"/>
  <c r="G21" i="21"/>
  <c r="G22" i="21"/>
  <c r="G23" i="21"/>
  <c r="G24" i="21"/>
  <c r="G25" i="21"/>
  <c r="G26" i="21"/>
  <c r="G29" i="21"/>
  <c r="H8" i="21"/>
  <c r="H10" i="21"/>
  <c r="H11" i="21"/>
  <c r="H12" i="21"/>
  <c r="H14" i="21"/>
  <c r="H18" i="21"/>
  <c r="H19" i="21"/>
  <c r="H20" i="21"/>
  <c r="H21" i="21"/>
  <c r="H22" i="21"/>
  <c r="H23" i="21"/>
  <c r="H24" i="21"/>
  <c r="H25" i="21"/>
  <c r="H26" i="21"/>
  <c r="H29" i="21"/>
  <c r="I8" i="21"/>
  <c r="I10" i="21"/>
  <c r="I11" i="21"/>
  <c r="I12" i="21"/>
  <c r="I14" i="21"/>
  <c r="I18" i="21"/>
  <c r="I19" i="21"/>
  <c r="I20" i="21"/>
  <c r="I21" i="21"/>
  <c r="I22" i="21"/>
  <c r="I23" i="21"/>
  <c r="I24" i="21"/>
  <c r="I25" i="21"/>
  <c r="I26" i="21"/>
  <c r="I29" i="21"/>
  <c r="J8" i="21"/>
  <c r="J10" i="21"/>
  <c r="J11" i="21"/>
  <c r="J12" i="21"/>
  <c r="J14" i="21"/>
  <c r="J18" i="21"/>
  <c r="J19" i="21"/>
  <c r="J20" i="21"/>
  <c r="J21" i="21"/>
  <c r="J22" i="21"/>
  <c r="J23" i="21"/>
  <c r="J24" i="21"/>
  <c r="J25" i="21"/>
  <c r="J26" i="21"/>
  <c r="J29" i="21"/>
  <c r="K8" i="21"/>
  <c r="K10" i="21"/>
  <c r="K11" i="21"/>
  <c r="K12" i="21"/>
  <c r="K14" i="21"/>
  <c r="K18" i="21"/>
  <c r="K19" i="21"/>
  <c r="K20" i="21"/>
  <c r="K21" i="21"/>
  <c r="K22" i="21"/>
  <c r="K23" i="21"/>
  <c r="K24" i="21"/>
  <c r="K25" i="21"/>
  <c r="K26" i="21"/>
  <c r="K29" i="21"/>
  <c r="L8" i="21"/>
  <c r="L10" i="21"/>
  <c r="L11" i="21"/>
  <c r="L12" i="21"/>
  <c r="L14" i="21"/>
  <c r="L18" i="21"/>
  <c r="L19" i="21"/>
  <c r="L20" i="21"/>
  <c r="L21" i="21"/>
  <c r="L22" i="21"/>
  <c r="L23" i="21"/>
  <c r="L24" i="21"/>
  <c r="L25" i="21"/>
  <c r="L26" i="21"/>
  <c r="L29" i="21"/>
  <c r="M8" i="21"/>
  <c r="M10" i="21"/>
  <c r="M11" i="21"/>
  <c r="M12" i="21"/>
  <c r="M14" i="21"/>
  <c r="M18" i="21"/>
  <c r="M19" i="21"/>
  <c r="M20" i="21"/>
  <c r="M21" i="21"/>
  <c r="M22" i="21"/>
  <c r="M23" i="21"/>
  <c r="M24" i="21"/>
  <c r="M25" i="21"/>
  <c r="M26" i="21"/>
  <c r="M29" i="21"/>
  <c r="B36" i="26"/>
  <c r="C36" i="26"/>
  <c r="D36" i="26"/>
  <c r="E36" i="26"/>
  <c r="F36" i="26"/>
  <c r="G36" i="26"/>
  <c r="H36" i="26"/>
  <c r="I36" i="26"/>
  <c r="J36" i="26"/>
  <c r="K36" i="26"/>
  <c r="L36" i="26"/>
  <c r="M36" i="26"/>
  <c r="B8" i="22"/>
  <c r="B10" i="22"/>
  <c r="B11" i="22"/>
  <c r="B12" i="22"/>
  <c r="B14" i="22"/>
  <c r="B18" i="22"/>
  <c r="B19" i="22"/>
  <c r="B20" i="22"/>
  <c r="B21" i="22"/>
  <c r="B22" i="22"/>
  <c r="B23" i="22"/>
  <c r="B24" i="22"/>
  <c r="B25" i="22"/>
  <c r="B26" i="22"/>
  <c r="B29" i="22"/>
  <c r="C8" i="22"/>
  <c r="C10" i="22"/>
  <c r="C11" i="22"/>
  <c r="C12" i="22"/>
  <c r="C14" i="22"/>
  <c r="C18" i="22"/>
  <c r="C19" i="22"/>
  <c r="C20" i="22"/>
  <c r="C21" i="22"/>
  <c r="C22" i="22"/>
  <c r="C23" i="22"/>
  <c r="C24" i="22"/>
  <c r="C25" i="22"/>
  <c r="C26" i="22"/>
  <c r="C29" i="22"/>
  <c r="D8" i="22"/>
  <c r="D10" i="22"/>
  <c r="D11" i="22"/>
  <c r="D12" i="22"/>
  <c r="D14" i="22"/>
  <c r="D18" i="22"/>
  <c r="D19" i="22"/>
  <c r="D20" i="22"/>
  <c r="D21" i="22"/>
  <c r="D22" i="22"/>
  <c r="D23" i="22"/>
  <c r="D24" i="22"/>
  <c r="D25" i="22"/>
  <c r="D26" i="22"/>
  <c r="D29" i="22"/>
  <c r="E8" i="22"/>
  <c r="E10" i="22"/>
  <c r="E11" i="22"/>
  <c r="E12" i="22"/>
  <c r="E14" i="22"/>
  <c r="E18" i="22"/>
  <c r="E19" i="22"/>
  <c r="E20" i="22"/>
  <c r="E21" i="22"/>
  <c r="E22" i="22"/>
  <c r="E23" i="22"/>
  <c r="E24" i="22"/>
  <c r="E25" i="22"/>
  <c r="E26" i="22"/>
  <c r="E29" i="22"/>
  <c r="F8" i="22"/>
  <c r="F10" i="22"/>
  <c r="F11" i="22"/>
  <c r="F12" i="22"/>
  <c r="F14" i="22"/>
  <c r="F18" i="22"/>
  <c r="F19" i="22"/>
  <c r="F20" i="22"/>
  <c r="F21" i="22"/>
  <c r="F22" i="22"/>
  <c r="F23" i="22"/>
  <c r="F24" i="22"/>
  <c r="F25" i="22"/>
  <c r="F26" i="22"/>
  <c r="F29" i="22"/>
  <c r="G8" i="22"/>
  <c r="G10" i="22"/>
  <c r="G11" i="22"/>
  <c r="G12" i="22"/>
  <c r="G14" i="22"/>
  <c r="G18" i="22"/>
  <c r="G19" i="22"/>
  <c r="G20" i="22"/>
  <c r="G21" i="22"/>
  <c r="G22" i="22"/>
  <c r="G23" i="22"/>
  <c r="G24" i="22"/>
  <c r="G25" i="22"/>
  <c r="G26" i="22"/>
  <c r="G29" i="22"/>
  <c r="H8" i="22"/>
  <c r="H10" i="22"/>
  <c r="H11" i="22"/>
  <c r="H12" i="22"/>
  <c r="H14" i="22"/>
  <c r="H18" i="22"/>
  <c r="H19" i="22"/>
  <c r="H20" i="22"/>
  <c r="H21" i="22"/>
  <c r="H22" i="22"/>
  <c r="H23" i="22"/>
  <c r="H24" i="22"/>
  <c r="H25" i="22"/>
  <c r="H26" i="22"/>
  <c r="H29" i="22"/>
  <c r="I8" i="22"/>
  <c r="I10" i="22"/>
  <c r="I11" i="22"/>
  <c r="I12" i="22"/>
  <c r="I14" i="22"/>
  <c r="I18" i="22"/>
  <c r="I19" i="22"/>
  <c r="I20" i="22"/>
  <c r="I21" i="22"/>
  <c r="I22" i="22"/>
  <c r="I23" i="22"/>
  <c r="I24" i="22"/>
  <c r="I25" i="22"/>
  <c r="I26" i="22"/>
  <c r="I29" i="22"/>
  <c r="J8" i="22"/>
  <c r="J10" i="22"/>
  <c r="J11" i="22"/>
  <c r="J12" i="22"/>
  <c r="J14" i="22"/>
  <c r="J18" i="22"/>
  <c r="J19" i="22"/>
  <c r="J20" i="22"/>
  <c r="J21" i="22"/>
  <c r="J22" i="22"/>
  <c r="J23" i="22"/>
  <c r="J24" i="22"/>
  <c r="J25" i="22"/>
  <c r="J26" i="22"/>
  <c r="J29" i="22"/>
  <c r="K8" i="22"/>
  <c r="K10" i="22"/>
  <c r="K11" i="22"/>
  <c r="K12" i="22"/>
  <c r="K14" i="22"/>
  <c r="K18" i="22"/>
  <c r="K19" i="22"/>
  <c r="K20" i="22"/>
  <c r="K21" i="22"/>
  <c r="K22" i="22"/>
  <c r="K23" i="22"/>
  <c r="K24" i="22"/>
  <c r="K25" i="22"/>
  <c r="K26" i="22"/>
  <c r="K29" i="22"/>
  <c r="L8" i="22"/>
  <c r="L10" i="22"/>
  <c r="L11" i="22"/>
  <c r="L12" i="22"/>
  <c r="L14" i="22"/>
  <c r="L18" i="22"/>
  <c r="L19" i="22"/>
  <c r="L20" i="22"/>
  <c r="L21" i="22"/>
  <c r="L22" i="22"/>
  <c r="L23" i="22"/>
  <c r="L24" i="22"/>
  <c r="L25" i="22"/>
  <c r="L26" i="22"/>
  <c r="L29" i="22"/>
  <c r="M8" i="22"/>
  <c r="M10" i="22"/>
  <c r="M11" i="22"/>
  <c r="M12" i="22"/>
  <c r="M14" i="22"/>
  <c r="M18" i="22"/>
  <c r="M19" i="22"/>
  <c r="M20" i="22"/>
  <c r="M21" i="22"/>
  <c r="M22" i="22"/>
  <c r="M23" i="22"/>
  <c r="M24" i="22"/>
  <c r="M25" i="22"/>
  <c r="M26" i="22"/>
  <c r="M29" i="22"/>
  <c r="B36" i="25"/>
  <c r="C36" i="25"/>
  <c r="D36" i="25"/>
  <c r="E36" i="25"/>
  <c r="F36" i="25"/>
  <c r="G36" i="25"/>
  <c r="H36" i="25"/>
  <c r="I36" i="25"/>
  <c r="J36" i="25"/>
  <c r="K36" i="25"/>
  <c r="L36" i="25"/>
  <c r="M36" i="25"/>
  <c r="B35" i="12"/>
  <c r="C35" i="12"/>
  <c r="D35" i="12"/>
  <c r="E35" i="12"/>
  <c r="F35" i="12"/>
  <c r="G35" i="12"/>
  <c r="H35" i="12"/>
  <c r="I35" i="12"/>
  <c r="J35" i="12"/>
  <c r="K35" i="12"/>
  <c r="L35" i="12"/>
  <c r="M35" i="12"/>
  <c r="B35" i="13"/>
  <c r="C35" i="13"/>
  <c r="D35" i="13"/>
  <c r="E35" i="13"/>
  <c r="F35" i="13"/>
  <c r="G35" i="13"/>
  <c r="H35" i="13"/>
  <c r="I35" i="13"/>
  <c r="J35" i="13"/>
  <c r="K35" i="13"/>
  <c r="L35" i="13"/>
  <c r="M35" i="13"/>
  <c r="B35" i="26"/>
  <c r="C35" i="26"/>
  <c r="D35" i="26"/>
  <c r="E35" i="26"/>
  <c r="F35" i="26"/>
  <c r="G35" i="26"/>
  <c r="H35" i="26"/>
  <c r="I35" i="26"/>
  <c r="J35" i="26"/>
  <c r="K35" i="26"/>
  <c r="L35" i="26"/>
  <c r="M35" i="26"/>
  <c r="B35" i="25"/>
  <c r="B34" i="12"/>
  <c r="C34" i="12"/>
  <c r="D34" i="12"/>
  <c r="E34" i="12"/>
  <c r="F34" i="12"/>
  <c r="G34" i="12"/>
  <c r="H34" i="12"/>
  <c r="I34" i="12"/>
  <c r="J34" i="12"/>
  <c r="K34" i="12"/>
  <c r="L34" i="12"/>
  <c r="M34" i="12"/>
  <c r="B34" i="13"/>
  <c r="C34" i="13"/>
  <c r="D34" i="13"/>
  <c r="E34" i="13"/>
  <c r="F34" i="13"/>
  <c r="G34" i="13"/>
  <c r="H34" i="13"/>
  <c r="I34" i="13"/>
  <c r="J34" i="13"/>
  <c r="K34" i="13"/>
  <c r="L34" i="13"/>
  <c r="M34" i="13"/>
  <c r="B34" i="26"/>
  <c r="C34" i="26"/>
  <c r="D34" i="26"/>
  <c r="E34" i="26"/>
  <c r="F34" i="26"/>
  <c r="G34" i="26"/>
  <c r="H34" i="26"/>
  <c r="I34" i="26"/>
  <c r="J34" i="26"/>
  <c r="K34" i="26"/>
  <c r="L34" i="26"/>
  <c r="M34" i="26"/>
  <c r="B34" i="25"/>
  <c r="C11" i="25"/>
  <c r="D11" i="25"/>
  <c r="E11" i="25"/>
  <c r="F11" i="25"/>
  <c r="G11" i="25"/>
  <c r="H11" i="25"/>
  <c r="I11" i="25"/>
  <c r="J11" i="25"/>
  <c r="K11" i="25"/>
  <c r="L11" i="25"/>
  <c r="M11" i="25"/>
  <c r="B11" i="25"/>
  <c r="D10" i="23"/>
  <c r="C10" i="23"/>
  <c r="B10" i="23"/>
  <c r="M10" i="24"/>
  <c r="L10" i="24"/>
  <c r="K10" i="24"/>
  <c r="J10" i="24"/>
  <c r="I10" i="24"/>
  <c r="H10" i="24"/>
  <c r="G10" i="24"/>
  <c r="F10" i="24"/>
  <c r="E10" i="24"/>
  <c r="D10" i="24"/>
  <c r="C10" i="24"/>
  <c r="B10" i="24"/>
  <c r="M10" i="10"/>
  <c r="L10" i="10"/>
  <c r="K10" i="10"/>
  <c r="J10" i="10"/>
  <c r="I10" i="10"/>
  <c r="H10" i="10"/>
  <c r="G10" i="10"/>
  <c r="F10" i="10"/>
  <c r="E10" i="10"/>
  <c r="D10" i="10"/>
  <c r="C10" i="10"/>
  <c r="B10" i="10"/>
  <c r="M10" i="9"/>
  <c r="L10" i="9"/>
  <c r="K10" i="9"/>
  <c r="J10" i="9"/>
  <c r="I10" i="9"/>
  <c r="H10" i="9"/>
  <c r="G10" i="9"/>
  <c r="F10" i="9"/>
  <c r="E10" i="9"/>
  <c r="D10" i="9"/>
  <c r="C10" i="9"/>
  <c r="B10" i="9"/>
  <c r="B10" i="12"/>
  <c r="C10" i="12"/>
  <c r="D10" i="12"/>
  <c r="E10" i="12"/>
  <c r="F10" i="12"/>
  <c r="G10" i="12"/>
  <c r="H10" i="12"/>
  <c r="I10" i="12"/>
  <c r="J10" i="12"/>
  <c r="K10" i="12"/>
  <c r="L10" i="12"/>
  <c r="M10" i="12"/>
  <c r="B10" i="13"/>
  <c r="C10" i="13"/>
  <c r="D10" i="13"/>
  <c r="E10" i="13"/>
  <c r="F10" i="13"/>
  <c r="G10" i="13"/>
  <c r="H10" i="13"/>
  <c r="I10" i="13"/>
  <c r="J10" i="13"/>
  <c r="K10" i="13"/>
  <c r="L10" i="13"/>
  <c r="M10" i="13"/>
  <c r="B10" i="26"/>
  <c r="C10" i="26"/>
  <c r="D10" i="26"/>
  <c r="E10" i="26"/>
  <c r="F10" i="26"/>
  <c r="G10" i="26"/>
  <c r="H10" i="26"/>
  <c r="I10" i="26"/>
  <c r="J10" i="26"/>
  <c r="K10" i="26"/>
  <c r="L10" i="26"/>
  <c r="M10" i="26"/>
  <c r="B10" i="25"/>
  <c r="C10" i="25"/>
  <c r="D10" i="25"/>
  <c r="E10" i="23"/>
  <c r="E10" i="25"/>
  <c r="F10" i="23"/>
  <c r="F10" i="25"/>
  <c r="G10" i="23"/>
  <c r="G10" i="25"/>
  <c r="H10" i="23"/>
  <c r="H10" i="25"/>
  <c r="I10" i="23"/>
  <c r="I10" i="25"/>
  <c r="J10" i="23"/>
  <c r="J10" i="25"/>
  <c r="K10" i="23"/>
  <c r="K10" i="25"/>
  <c r="L10" i="23"/>
  <c r="L10" i="25"/>
  <c r="M10" i="23"/>
  <c r="M10" i="25"/>
  <c r="B15" i="9"/>
  <c r="B16" i="9"/>
  <c r="B17" i="9"/>
  <c r="B18" i="9"/>
  <c r="B19" i="9"/>
  <c r="B20" i="9"/>
  <c r="B21" i="9"/>
  <c r="B22" i="9"/>
  <c r="B23" i="9"/>
  <c r="B24" i="9"/>
  <c r="B28" i="9"/>
  <c r="B29" i="9"/>
  <c r="N29" i="9" s="1"/>
  <c r="B30" i="9"/>
  <c r="B32" i="9"/>
  <c r="B11" i="9"/>
  <c r="B12" i="9"/>
  <c r="C11" i="9"/>
  <c r="C12" i="9"/>
  <c r="C15" i="9"/>
  <c r="C16" i="9"/>
  <c r="C17" i="9"/>
  <c r="C18" i="9"/>
  <c r="C19" i="9"/>
  <c r="C20" i="9"/>
  <c r="C21" i="9"/>
  <c r="C22" i="9"/>
  <c r="C23" i="9"/>
  <c r="C24" i="9"/>
  <c r="C28" i="9"/>
  <c r="C29" i="9"/>
  <c r="C30" i="9"/>
  <c r="C32" i="9"/>
  <c r="D11" i="9"/>
  <c r="D12" i="9"/>
  <c r="D15" i="9"/>
  <c r="D16" i="9"/>
  <c r="D17" i="9"/>
  <c r="D18" i="9"/>
  <c r="D19" i="9"/>
  <c r="D20" i="9"/>
  <c r="D21" i="9"/>
  <c r="D22" i="9"/>
  <c r="D23" i="9"/>
  <c r="D24" i="9"/>
  <c r="D28" i="9"/>
  <c r="D29" i="9"/>
  <c r="D30" i="9"/>
  <c r="D32" i="9"/>
  <c r="E11" i="9"/>
  <c r="E12" i="9"/>
  <c r="E15" i="9"/>
  <c r="E16" i="9"/>
  <c r="E17" i="9"/>
  <c r="E18" i="9"/>
  <c r="E19" i="9"/>
  <c r="E20" i="9"/>
  <c r="E21" i="9"/>
  <c r="E22" i="9"/>
  <c r="E23" i="9"/>
  <c r="E24" i="9"/>
  <c r="E28" i="9"/>
  <c r="E29" i="9"/>
  <c r="E30" i="9"/>
  <c r="E32" i="9"/>
  <c r="F11" i="9"/>
  <c r="F12" i="9"/>
  <c r="F15" i="9"/>
  <c r="F16" i="9"/>
  <c r="F17" i="9"/>
  <c r="F18" i="9"/>
  <c r="F19" i="9"/>
  <c r="F20" i="9"/>
  <c r="F21" i="9"/>
  <c r="F22" i="9"/>
  <c r="F23" i="9"/>
  <c r="F24" i="9"/>
  <c r="F28" i="9"/>
  <c r="F29" i="9"/>
  <c r="F30" i="9"/>
  <c r="F32" i="9"/>
  <c r="G11" i="9"/>
  <c r="G12" i="9"/>
  <c r="G15" i="9"/>
  <c r="G16" i="9"/>
  <c r="G17" i="9"/>
  <c r="G18" i="9"/>
  <c r="G19" i="9"/>
  <c r="G20" i="9"/>
  <c r="G21" i="9"/>
  <c r="G22" i="9"/>
  <c r="G23" i="9"/>
  <c r="G24" i="9"/>
  <c r="G28" i="9"/>
  <c r="G29" i="9"/>
  <c r="G30" i="9"/>
  <c r="G32" i="9"/>
  <c r="H11" i="9"/>
  <c r="H12" i="9"/>
  <c r="H15" i="9"/>
  <c r="H16" i="9"/>
  <c r="H17" i="9"/>
  <c r="H18" i="9"/>
  <c r="H19" i="9"/>
  <c r="H20" i="9"/>
  <c r="H21" i="9"/>
  <c r="H22" i="9"/>
  <c r="H23" i="9"/>
  <c r="H24" i="9"/>
  <c r="H28" i="9"/>
  <c r="H29" i="9"/>
  <c r="H30" i="9"/>
  <c r="H32" i="9"/>
  <c r="I11" i="9"/>
  <c r="I12" i="9"/>
  <c r="I15" i="9"/>
  <c r="I16" i="9"/>
  <c r="I17" i="9"/>
  <c r="I18" i="9"/>
  <c r="I19" i="9"/>
  <c r="I20" i="9"/>
  <c r="I21" i="9"/>
  <c r="I22" i="9"/>
  <c r="I23" i="9"/>
  <c r="I24" i="9"/>
  <c r="I28" i="9"/>
  <c r="I29" i="9"/>
  <c r="I30" i="9"/>
  <c r="I32" i="9"/>
  <c r="J11" i="9"/>
  <c r="J12" i="9"/>
  <c r="J15" i="9"/>
  <c r="J16" i="9"/>
  <c r="J17" i="9"/>
  <c r="J18" i="9"/>
  <c r="J19" i="9"/>
  <c r="J20" i="9"/>
  <c r="J21" i="9"/>
  <c r="J22" i="9"/>
  <c r="J23" i="9"/>
  <c r="J24" i="9"/>
  <c r="J28" i="9"/>
  <c r="J29" i="9"/>
  <c r="J30" i="9"/>
  <c r="J32" i="9"/>
  <c r="K11" i="9"/>
  <c r="K12" i="9"/>
  <c r="K15" i="9"/>
  <c r="K16" i="9"/>
  <c r="K17" i="9"/>
  <c r="K18" i="9"/>
  <c r="K19" i="9"/>
  <c r="K20" i="9"/>
  <c r="K21" i="9"/>
  <c r="K22" i="9"/>
  <c r="K23" i="9"/>
  <c r="K24" i="9"/>
  <c r="K28" i="9"/>
  <c r="K29" i="9"/>
  <c r="K30" i="9"/>
  <c r="K32" i="9"/>
  <c r="L11" i="9"/>
  <c r="L12" i="9"/>
  <c r="L15" i="9"/>
  <c r="L16" i="9"/>
  <c r="L17" i="9"/>
  <c r="L18" i="9"/>
  <c r="L19" i="9"/>
  <c r="L20" i="9"/>
  <c r="L21" i="9"/>
  <c r="L22" i="9"/>
  <c r="L23" i="9"/>
  <c r="L24" i="9"/>
  <c r="L28" i="9"/>
  <c r="L29" i="9"/>
  <c r="L30" i="9"/>
  <c r="L32" i="9"/>
  <c r="M11" i="9"/>
  <c r="M12" i="9"/>
  <c r="M15" i="9"/>
  <c r="M16" i="9"/>
  <c r="M17" i="9"/>
  <c r="M18" i="9"/>
  <c r="M19" i="9"/>
  <c r="M20" i="9"/>
  <c r="M21" i="9"/>
  <c r="M22" i="9"/>
  <c r="M23" i="9"/>
  <c r="M24" i="9"/>
  <c r="M28" i="9"/>
  <c r="M29" i="9"/>
  <c r="M30" i="9"/>
  <c r="M32" i="9"/>
  <c r="B11" i="10"/>
  <c r="B12" i="10"/>
  <c r="B15" i="10"/>
  <c r="B16" i="10"/>
  <c r="B17" i="10"/>
  <c r="B18" i="10"/>
  <c r="B19" i="10"/>
  <c r="B20" i="10"/>
  <c r="B21" i="10"/>
  <c r="B22" i="10"/>
  <c r="B23" i="10"/>
  <c r="B24" i="10"/>
  <c r="B28" i="10"/>
  <c r="B29" i="10"/>
  <c r="B30" i="10"/>
  <c r="B32" i="10"/>
  <c r="C11" i="10"/>
  <c r="C12" i="10"/>
  <c r="C15" i="10"/>
  <c r="C16" i="10"/>
  <c r="C17" i="10"/>
  <c r="C18" i="10"/>
  <c r="C19" i="10"/>
  <c r="C20" i="10"/>
  <c r="C21" i="10"/>
  <c r="C22" i="10"/>
  <c r="C23" i="10"/>
  <c r="C24" i="10"/>
  <c r="C28" i="10"/>
  <c r="C29" i="10"/>
  <c r="C30" i="10"/>
  <c r="C32" i="10"/>
  <c r="D11" i="10"/>
  <c r="D12" i="10"/>
  <c r="D15" i="10"/>
  <c r="D16" i="10"/>
  <c r="D17" i="10"/>
  <c r="D18" i="10"/>
  <c r="D19" i="10"/>
  <c r="D20" i="10"/>
  <c r="D21" i="10"/>
  <c r="D22" i="10"/>
  <c r="D23" i="10"/>
  <c r="D24" i="10"/>
  <c r="D28" i="10"/>
  <c r="D29" i="10"/>
  <c r="D30" i="10"/>
  <c r="D32" i="10"/>
  <c r="E11" i="10"/>
  <c r="E12" i="10"/>
  <c r="E15" i="10"/>
  <c r="E16" i="10"/>
  <c r="E17" i="10"/>
  <c r="E18" i="10"/>
  <c r="E19" i="10"/>
  <c r="E20" i="10"/>
  <c r="E21" i="10"/>
  <c r="E22" i="10"/>
  <c r="E23" i="10"/>
  <c r="E24" i="10"/>
  <c r="E28" i="10"/>
  <c r="E29" i="10"/>
  <c r="E30" i="10"/>
  <c r="E32" i="10"/>
  <c r="F11" i="10"/>
  <c r="F12" i="10"/>
  <c r="F15" i="10"/>
  <c r="F16" i="10"/>
  <c r="F17" i="10"/>
  <c r="F18" i="10"/>
  <c r="F19" i="10"/>
  <c r="F20" i="10"/>
  <c r="F21" i="10"/>
  <c r="F22" i="10"/>
  <c r="F23" i="10"/>
  <c r="F24" i="10"/>
  <c r="F28" i="10"/>
  <c r="F29" i="10"/>
  <c r="F30" i="10"/>
  <c r="F32" i="10"/>
  <c r="G11" i="10"/>
  <c r="G12" i="10"/>
  <c r="G15" i="10"/>
  <c r="G16" i="10"/>
  <c r="G17" i="10"/>
  <c r="G18" i="10"/>
  <c r="G19" i="10"/>
  <c r="G20" i="10"/>
  <c r="G21" i="10"/>
  <c r="G22" i="10"/>
  <c r="G23" i="10"/>
  <c r="G24" i="10"/>
  <c r="G28" i="10"/>
  <c r="G29" i="10"/>
  <c r="G30" i="10"/>
  <c r="G32" i="10"/>
  <c r="H11" i="10"/>
  <c r="H12" i="10"/>
  <c r="H15" i="10"/>
  <c r="H16" i="10"/>
  <c r="H17" i="10"/>
  <c r="H18" i="10"/>
  <c r="H19" i="10"/>
  <c r="H20" i="10"/>
  <c r="H21" i="10"/>
  <c r="H22" i="10"/>
  <c r="H23" i="10"/>
  <c r="H24" i="10"/>
  <c r="H28" i="10"/>
  <c r="H29" i="10"/>
  <c r="H30" i="10"/>
  <c r="H32" i="10"/>
  <c r="I11" i="10"/>
  <c r="I12" i="10"/>
  <c r="I15" i="10"/>
  <c r="I16" i="10"/>
  <c r="I17" i="10"/>
  <c r="I18" i="10"/>
  <c r="I19" i="10"/>
  <c r="I20" i="10"/>
  <c r="I21" i="10"/>
  <c r="I22" i="10"/>
  <c r="I23" i="10"/>
  <c r="I24" i="10"/>
  <c r="I28" i="10"/>
  <c r="I29" i="10"/>
  <c r="I30" i="10"/>
  <c r="I32" i="10"/>
  <c r="J11" i="10"/>
  <c r="J12" i="10"/>
  <c r="J15" i="10"/>
  <c r="J16" i="10"/>
  <c r="J17" i="10"/>
  <c r="J18" i="10"/>
  <c r="J19" i="10"/>
  <c r="J20" i="10"/>
  <c r="J21" i="10"/>
  <c r="J22" i="10"/>
  <c r="J23" i="10"/>
  <c r="J24" i="10"/>
  <c r="J28" i="10"/>
  <c r="J29" i="10"/>
  <c r="J30" i="10"/>
  <c r="J32" i="10"/>
  <c r="K11" i="10"/>
  <c r="K12" i="10"/>
  <c r="K15" i="10"/>
  <c r="K16" i="10"/>
  <c r="K17" i="10"/>
  <c r="K18" i="10"/>
  <c r="K19" i="10"/>
  <c r="K20" i="10"/>
  <c r="K21" i="10"/>
  <c r="K22" i="10"/>
  <c r="K23" i="10"/>
  <c r="K24" i="10"/>
  <c r="K28" i="10"/>
  <c r="K29" i="10"/>
  <c r="K30" i="10"/>
  <c r="K32" i="10"/>
  <c r="L11" i="10"/>
  <c r="L12" i="10"/>
  <c r="L15" i="10"/>
  <c r="L16" i="10"/>
  <c r="L17" i="10"/>
  <c r="L18" i="10"/>
  <c r="L19" i="10"/>
  <c r="L20" i="10"/>
  <c r="L21" i="10"/>
  <c r="L22" i="10"/>
  <c r="L23" i="10"/>
  <c r="L24" i="10"/>
  <c r="L28" i="10"/>
  <c r="L29" i="10"/>
  <c r="L30" i="10"/>
  <c r="L32" i="10"/>
  <c r="M11" i="10"/>
  <c r="M12" i="10"/>
  <c r="M15" i="10"/>
  <c r="M16" i="10"/>
  <c r="M17" i="10"/>
  <c r="M18" i="10"/>
  <c r="M19" i="10"/>
  <c r="M20" i="10"/>
  <c r="M21" i="10"/>
  <c r="M22" i="10"/>
  <c r="M23" i="10"/>
  <c r="M24" i="10"/>
  <c r="M28" i="10"/>
  <c r="M29" i="10"/>
  <c r="M30" i="10"/>
  <c r="M32" i="10"/>
  <c r="B11" i="24"/>
  <c r="B12" i="24"/>
  <c r="B15" i="24"/>
  <c r="B16" i="24"/>
  <c r="B17" i="24"/>
  <c r="B18" i="24"/>
  <c r="B19" i="24"/>
  <c r="B20" i="24"/>
  <c r="B21" i="24"/>
  <c r="B22" i="24"/>
  <c r="B23" i="24"/>
  <c r="B24" i="24"/>
  <c r="B28" i="24"/>
  <c r="B29" i="24"/>
  <c r="B30" i="24"/>
  <c r="B32" i="24"/>
  <c r="C11" i="24"/>
  <c r="C12" i="24"/>
  <c r="C15" i="24"/>
  <c r="C16" i="24"/>
  <c r="C17" i="24"/>
  <c r="C18" i="24"/>
  <c r="C19" i="24"/>
  <c r="C20" i="24"/>
  <c r="C21" i="24"/>
  <c r="C22" i="24"/>
  <c r="C23" i="24"/>
  <c r="C24" i="24"/>
  <c r="C28" i="24"/>
  <c r="C29" i="24"/>
  <c r="N29" i="24" s="1"/>
  <c r="C30" i="24"/>
  <c r="C32" i="24"/>
  <c r="D11" i="24"/>
  <c r="D12" i="24"/>
  <c r="D15" i="24"/>
  <c r="D16" i="24"/>
  <c r="D17" i="24"/>
  <c r="D18" i="24"/>
  <c r="D19" i="24"/>
  <c r="D20" i="24"/>
  <c r="D21" i="24"/>
  <c r="D22" i="24"/>
  <c r="D23" i="24"/>
  <c r="D24" i="24"/>
  <c r="D28" i="24"/>
  <c r="D29" i="24"/>
  <c r="D30" i="24"/>
  <c r="D32" i="24"/>
  <c r="E11" i="24"/>
  <c r="E12" i="24"/>
  <c r="E15" i="24"/>
  <c r="E16" i="24"/>
  <c r="E17" i="24"/>
  <c r="E18" i="24"/>
  <c r="E19" i="24"/>
  <c r="E20" i="24"/>
  <c r="E21" i="24"/>
  <c r="E22" i="24"/>
  <c r="E23" i="24"/>
  <c r="E24" i="24"/>
  <c r="E28" i="24"/>
  <c r="E29" i="24"/>
  <c r="E30" i="24"/>
  <c r="E32" i="24"/>
  <c r="F11" i="24"/>
  <c r="F12" i="24"/>
  <c r="F15" i="24"/>
  <c r="F16" i="24"/>
  <c r="F17" i="24"/>
  <c r="F18" i="24"/>
  <c r="F19" i="24"/>
  <c r="F20" i="24"/>
  <c r="F21" i="24"/>
  <c r="F22" i="24"/>
  <c r="F23" i="24"/>
  <c r="F24" i="24"/>
  <c r="F28" i="24"/>
  <c r="F29" i="24"/>
  <c r="F30" i="24"/>
  <c r="F32" i="24"/>
  <c r="G11" i="24"/>
  <c r="G12" i="24"/>
  <c r="G15" i="24"/>
  <c r="G16" i="24"/>
  <c r="G17" i="24"/>
  <c r="G18" i="24"/>
  <c r="G19" i="24"/>
  <c r="G20" i="24"/>
  <c r="G21" i="24"/>
  <c r="G22" i="24"/>
  <c r="G23" i="24"/>
  <c r="G24" i="24"/>
  <c r="G28" i="24"/>
  <c r="G29" i="24"/>
  <c r="G30" i="24"/>
  <c r="G32" i="24"/>
  <c r="H11" i="24"/>
  <c r="H12" i="24"/>
  <c r="H15" i="24"/>
  <c r="H16" i="24"/>
  <c r="H17" i="24"/>
  <c r="H18" i="24"/>
  <c r="H19" i="24"/>
  <c r="H20" i="24"/>
  <c r="H21" i="24"/>
  <c r="H22" i="24"/>
  <c r="H23" i="24"/>
  <c r="H24" i="24"/>
  <c r="H28" i="24"/>
  <c r="H29" i="24"/>
  <c r="H30" i="24"/>
  <c r="H32" i="24"/>
  <c r="I11" i="24"/>
  <c r="I12" i="24"/>
  <c r="I15" i="24"/>
  <c r="I16" i="24"/>
  <c r="I17" i="24"/>
  <c r="I18" i="24"/>
  <c r="I19" i="24"/>
  <c r="I20" i="24"/>
  <c r="I21" i="24"/>
  <c r="I22" i="24"/>
  <c r="I23" i="24"/>
  <c r="I24" i="24"/>
  <c r="I28" i="24"/>
  <c r="I29" i="24"/>
  <c r="I30" i="24"/>
  <c r="I32" i="24"/>
  <c r="J11" i="24"/>
  <c r="J12" i="24"/>
  <c r="J15" i="24"/>
  <c r="J16" i="24"/>
  <c r="J17" i="24"/>
  <c r="J18" i="24"/>
  <c r="J19" i="24"/>
  <c r="J20" i="24"/>
  <c r="J21" i="24"/>
  <c r="J22" i="24"/>
  <c r="J23" i="24"/>
  <c r="J24" i="24"/>
  <c r="J28" i="24"/>
  <c r="J29" i="24"/>
  <c r="J30" i="24"/>
  <c r="J32" i="24"/>
  <c r="K11" i="24"/>
  <c r="K12" i="24"/>
  <c r="K15" i="24"/>
  <c r="K16" i="24"/>
  <c r="K17" i="24"/>
  <c r="K18" i="24"/>
  <c r="K19" i="24"/>
  <c r="K20" i="24"/>
  <c r="K21" i="24"/>
  <c r="K22" i="24"/>
  <c r="K23" i="24"/>
  <c r="K24" i="24"/>
  <c r="K28" i="24"/>
  <c r="K29" i="24"/>
  <c r="K30" i="24"/>
  <c r="K32" i="24"/>
  <c r="L11" i="24"/>
  <c r="L12" i="24"/>
  <c r="L15" i="24"/>
  <c r="L16" i="24"/>
  <c r="L17" i="24"/>
  <c r="L18" i="24"/>
  <c r="L19" i="24"/>
  <c r="L20" i="24"/>
  <c r="L21" i="24"/>
  <c r="L22" i="24"/>
  <c r="L23" i="24"/>
  <c r="L24" i="24"/>
  <c r="L28" i="24"/>
  <c r="L29" i="24"/>
  <c r="L30" i="24"/>
  <c r="L32" i="24"/>
  <c r="M11" i="24"/>
  <c r="M12" i="24"/>
  <c r="M15" i="24"/>
  <c r="M16" i="24"/>
  <c r="M17" i="24"/>
  <c r="M18" i="24"/>
  <c r="M19" i="24"/>
  <c r="M20" i="24"/>
  <c r="M21" i="24"/>
  <c r="M22" i="24"/>
  <c r="M23" i="24"/>
  <c r="M24" i="24"/>
  <c r="M28" i="24"/>
  <c r="M29" i="24"/>
  <c r="M30" i="24"/>
  <c r="M32" i="24"/>
  <c r="B11" i="23"/>
  <c r="B12" i="23"/>
  <c r="B15" i="23"/>
  <c r="B16" i="23"/>
  <c r="B17" i="23"/>
  <c r="B18" i="23"/>
  <c r="B19" i="23"/>
  <c r="B20" i="23"/>
  <c r="B21" i="23"/>
  <c r="B22" i="23"/>
  <c r="B23" i="23"/>
  <c r="B24" i="23"/>
  <c r="B28" i="23"/>
  <c r="B29" i="23"/>
  <c r="B30" i="23"/>
  <c r="B32" i="23"/>
  <c r="C11" i="23"/>
  <c r="C12" i="23"/>
  <c r="C15" i="23"/>
  <c r="C16" i="23"/>
  <c r="C17" i="23"/>
  <c r="C18" i="23"/>
  <c r="C19" i="23"/>
  <c r="C20" i="23"/>
  <c r="C21" i="23"/>
  <c r="C22" i="23"/>
  <c r="C23" i="23"/>
  <c r="C24" i="23"/>
  <c r="C28" i="23"/>
  <c r="C29" i="23"/>
  <c r="C30" i="23"/>
  <c r="C32" i="23"/>
  <c r="D11" i="23"/>
  <c r="D12" i="23"/>
  <c r="D15" i="23"/>
  <c r="D16" i="23"/>
  <c r="D17" i="23"/>
  <c r="D18" i="23"/>
  <c r="D19" i="23"/>
  <c r="D20" i="23"/>
  <c r="D21" i="23"/>
  <c r="D22" i="23"/>
  <c r="D23" i="23"/>
  <c r="D24" i="23"/>
  <c r="D28" i="23"/>
  <c r="D29" i="23"/>
  <c r="D30" i="23"/>
  <c r="D32" i="23"/>
  <c r="E11" i="23"/>
  <c r="E12" i="23"/>
  <c r="E15" i="23"/>
  <c r="E16" i="23"/>
  <c r="E17" i="23"/>
  <c r="E18" i="23"/>
  <c r="E19" i="23"/>
  <c r="E20" i="23"/>
  <c r="E21" i="23"/>
  <c r="E22" i="23"/>
  <c r="E23" i="23"/>
  <c r="E24" i="23"/>
  <c r="E28" i="23"/>
  <c r="E29" i="23"/>
  <c r="E30" i="23"/>
  <c r="E32" i="23"/>
  <c r="F11" i="23"/>
  <c r="F12" i="23"/>
  <c r="F15" i="23"/>
  <c r="F16" i="23"/>
  <c r="F17" i="23"/>
  <c r="F18" i="23"/>
  <c r="F19" i="23"/>
  <c r="F20" i="23"/>
  <c r="F21" i="23"/>
  <c r="F22" i="23"/>
  <c r="F23" i="23"/>
  <c r="F24" i="23"/>
  <c r="F28" i="23"/>
  <c r="F29" i="23"/>
  <c r="F30" i="23"/>
  <c r="F32" i="23"/>
  <c r="G11" i="23"/>
  <c r="G12" i="23"/>
  <c r="G15" i="23"/>
  <c r="G16" i="23"/>
  <c r="G17" i="23"/>
  <c r="G18" i="23"/>
  <c r="G19" i="23"/>
  <c r="G20" i="23"/>
  <c r="G21" i="23"/>
  <c r="G22" i="23"/>
  <c r="G23" i="23"/>
  <c r="G24" i="23"/>
  <c r="G28" i="23"/>
  <c r="G29" i="23"/>
  <c r="G30" i="23"/>
  <c r="G32" i="23"/>
  <c r="H11" i="23"/>
  <c r="H12" i="23"/>
  <c r="H15" i="23"/>
  <c r="H16" i="23"/>
  <c r="H17" i="23"/>
  <c r="H18" i="23"/>
  <c r="H19" i="23"/>
  <c r="H20" i="23"/>
  <c r="H21" i="23"/>
  <c r="H22" i="23"/>
  <c r="H23" i="23"/>
  <c r="H24" i="23"/>
  <c r="H28" i="23"/>
  <c r="H29" i="23"/>
  <c r="H30" i="23"/>
  <c r="H32" i="23"/>
  <c r="I11" i="23"/>
  <c r="I12" i="23"/>
  <c r="I15" i="23"/>
  <c r="I16" i="23"/>
  <c r="I17" i="23"/>
  <c r="I18" i="23"/>
  <c r="I19" i="23"/>
  <c r="I20" i="23"/>
  <c r="I21" i="23"/>
  <c r="I22" i="23"/>
  <c r="I23" i="23"/>
  <c r="I24" i="23"/>
  <c r="I28" i="23"/>
  <c r="I29" i="23"/>
  <c r="I30" i="23"/>
  <c r="I32" i="23"/>
  <c r="J11" i="23"/>
  <c r="J12" i="23"/>
  <c r="J15" i="23"/>
  <c r="J16" i="23"/>
  <c r="J17" i="23"/>
  <c r="J18" i="23"/>
  <c r="J19" i="23"/>
  <c r="J20" i="23"/>
  <c r="J21" i="23"/>
  <c r="J22" i="23"/>
  <c r="J23" i="23"/>
  <c r="J24" i="23"/>
  <c r="J28" i="23"/>
  <c r="J29" i="23"/>
  <c r="J30" i="23"/>
  <c r="J32" i="23"/>
  <c r="K11" i="23"/>
  <c r="K12" i="23"/>
  <c r="K15" i="23"/>
  <c r="K16" i="23"/>
  <c r="K17" i="23"/>
  <c r="K18" i="23"/>
  <c r="K19" i="23"/>
  <c r="K20" i="23"/>
  <c r="K21" i="23"/>
  <c r="K22" i="23"/>
  <c r="K23" i="23"/>
  <c r="K24" i="23"/>
  <c r="K28" i="23"/>
  <c r="K29" i="23"/>
  <c r="K30" i="23"/>
  <c r="K32" i="23"/>
  <c r="L11" i="23"/>
  <c r="L12" i="23"/>
  <c r="L15" i="23"/>
  <c r="L16" i="23"/>
  <c r="L17" i="23"/>
  <c r="L18" i="23"/>
  <c r="L19" i="23"/>
  <c r="L20" i="23"/>
  <c r="L21" i="23"/>
  <c r="L22" i="23"/>
  <c r="L23" i="23"/>
  <c r="L24" i="23"/>
  <c r="L28" i="23"/>
  <c r="L29" i="23"/>
  <c r="L30" i="23"/>
  <c r="L32" i="23"/>
  <c r="M11" i="23"/>
  <c r="M12" i="23"/>
  <c r="M15" i="23"/>
  <c r="M16" i="23"/>
  <c r="M17" i="23"/>
  <c r="M18" i="23"/>
  <c r="M19" i="23"/>
  <c r="M20" i="23"/>
  <c r="M21" i="23"/>
  <c r="M22" i="23"/>
  <c r="M23" i="23"/>
  <c r="M24" i="23"/>
  <c r="M28" i="23"/>
  <c r="M29" i="23"/>
  <c r="M30" i="23"/>
  <c r="M32" i="23"/>
  <c r="C11" i="26"/>
  <c r="D11" i="26"/>
  <c r="E11" i="26"/>
  <c r="F11" i="26"/>
  <c r="G11" i="26"/>
  <c r="H11" i="26"/>
  <c r="I11" i="26"/>
  <c r="J11" i="26"/>
  <c r="K11" i="26"/>
  <c r="L11" i="26"/>
  <c r="M11" i="26"/>
  <c r="B11" i="26"/>
  <c r="N28" i="23"/>
  <c r="N25" i="23"/>
  <c r="N18" i="23"/>
  <c r="N19" i="23"/>
  <c r="N25" i="24"/>
  <c r="N20" i="22"/>
  <c r="F15" i="15"/>
  <c r="N25" i="22"/>
  <c r="F20" i="15"/>
  <c r="N25" i="21"/>
  <c r="E20" i="15"/>
  <c r="A28" i="26"/>
  <c r="A1" i="26"/>
  <c r="C35" i="25"/>
  <c r="D35" i="25"/>
  <c r="E35" i="25"/>
  <c r="F35" i="25"/>
  <c r="G35" i="25"/>
  <c r="H35" i="25"/>
  <c r="I35" i="25"/>
  <c r="J35" i="25"/>
  <c r="K35" i="25"/>
  <c r="L35" i="25"/>
  <c r="M35" i="25"/>
  <c r="C34" i="25"/>
  <c r="D34" i="25"/>
  <c r="E34" i="25"/>
  <c r="F34" i="25"/>
  <c r="G34" i="25"/>
  <c r="H34" i="25"/>
  <c r="I34" i="25"/>
  <c r="J34" i="25"/>
  <c r="K34" i="25"/>
  <c r="L34" i="25"/>
  <c r="M34" i="25"/>
  <c r="A28" i="25"/>
  <c r="A1" i="25"/>
  <c r="N11" i="24"/>
  <c r="A1" i="24"/>
  <c r="N17" i="23"/>
  <c r="N11" i="23"/>
  <c r="A1" i="23"/>
  <c r="A26" i="22"/>
  <c r="A25" i="22"/>
  <c r="A24" i="22"/>
  <c r="A23" i="22"/>
  <c r="A22" i="22"/>
  <c r="A21" i="22"/>
  <c r="A20" i="22"/>
  <c r="A19" i="22"/>
  <c r="A18" i="22"/>
  <c r="A7" i="22"/>
  <c r="A1" i="22"/>
  <c r="A26" i="21"/>
  <c r="A25" i="21"/>
  <c r="A24" i="21"/>
  <c r="A23" i="21"/>
  <c r="A22" i="21"/>
  <c r="A21" i="21"/>
  <c r="A20" i="21"/>
  <c r="A19" i="21"/>
  <c r="A18" i="21"/>
  <c r="A7" i="21"/>
  <c r="A1" i="21"/>
  <c r="N20" i="21"/>
  <c r="E15" i="15"/>
  <c r="N26" i="22"/>
  <c r="F21" i="15"/>
  <c r="N21" i="23"/>
  <c r="N22" i="23"/>
  <c r="N23" i="23"/>
  <c r="N24" i="23"/>
  <c r="N18" i="21"/>
  <c r="E13" i="15"/>
  <c r="N19" i="21"/>
  <c r="E14" i="15"/>
  <c r="N24" i="21"/>
  <c r="E19" i="15"/>
  <c r="N27" i="21"/>
  <c r="E22" i="15"/>
  <c r="N18" i="22"/>
  <c r="F13" i="15"/>
  <c r="N19" i="22"/>
  <c r="F14" i="15"/>
  <c r="N23" i="21"/>
  <c r="E18" i="15"/>
  <c r="N21" i="22"/>
  <c r="F16" i="15"/>
  <c r="N23" i="22"/>
  <c r="F18" i="15"/>
  <c r="N21" i="21"/>
  <c r="E16" i="15"/>
  <c r="N26" i="21"/>
  <c r="E21" i="15"/>
  <c r="N24" i="22"/>
  <c r="F19" i="15"/>
  <c r="N17" i="24"/>
  <c r="N18" i="24"/>
  <c r="N19" i="24"/>
  <c r="N21" i="24"/>
  <c r="N22" i="24"/>
  <c r="N23" i="24"/>
  <c r="N24" i="24"/>
  <c r="N28" i="24"/>
  <c r="N29" i="23"/>
  <c r="N27" i="22"/>
  <c r="F22" i="15"/>
  <c r="A22" i="15"/>
  <c r="A28" i="13"/>
  <c r="A1" i="13"/>
  <c r="A28" i="12"/>
  <c r="A1" i="12"/>
  <c r="A28" i="11"/>
  <c r="A1" i="11"/>
  <c r="N11" i="10"/>
  <c r="A1" i="10"/>
  <c r="N11" i="9"/>
  <c r="A1" i="9"/>
  <c r="B11" i="8"/>
  <c r="B12" i="8"/>
  <c r="B7" i="8"/>
  <c r="A1" i="8"/>
  <c r="A26" i="7"/>
  <c r="A25" i="7"/>
  <c r="A24" i="7"/>
  <c r="A23" i="7"/>
  <c r="A22" i="7"/>
  <c r="A21" i="7"/>
  <c r="A20" i="7"/>
  <c r="A19" i="7"/>
  <c r="A18" i="7"/>
  <c r="A7" i="7"/>
  <c r="A1" i="7"/>
  <c r="A26" i="6"/>
  <c r="A25" i="6"/>
  <c r="A24" i="6"/>
  <c r="A23" i="6"/>
  <c r="A22" i="6"/>
  <c r="A21" i="6"/>
  <c r="A20" i="6"/>
  <c r="A19" i="6"/>
  <c r="A18" i="6"/>
  <c r="A7" i="6"/>
  <c r="A1" i="6"/>
  <c r="A26" i="5"/>
  <c r="A21" i="15"/>
  <c r="A25" i="5"/>
  <c r="A20" i="15"/>
  <c r="A24" i="5"/>
  <c r="A19" i="15"/>
  <c r="A23" i="5"/>
  <c r="A18" i="15"/>
  <c r="A22" i="5"/>
  <c r="A17" i="15"/>
  <c r="A21" i="5"/>
  <c r="A16" i="15"/>
  <c r="A20" i="5"/>
  <c r="A15" i="15"/>
  <c r="A19" i="5"/>
  <c r="A14" i="15"/>
  <c r="A18" i="5"/>
  <c r="A13" i="15"/>
  <c r="A7" i="5"/>
  <c r="A3" i="15"/>
  <c r="A1" i="5"/>
  <c r="B23" i="4"/>
  <c r="D4" i="4"/>
  <c r="C4" i="4"/>
  <c r="A4" i="4"/>
  <c r="D3" i="4"/>
  <c r="C3" i="4"/>
  <c r="A3" i="4"/>
  <c r="N24" i="5"/>
  <c r="B19" i="15"/>
  <c r="N26" i="6"/>
  <c r="C21" i="15"/>
  <c r="N18" i="10"/>
  <c r="N21" i="10"/>
  <c r="N22" i="10"/>
  <c r="N20" i="7"/>
  <c r="D15" i="15"/>
  <c r="N23" i="7"/>
  <c r="D18" i="15"/>
  <c r="N17" i="10"/>
  <c r="N23" i="10"/>
  <c r="E3" i="4"/>
  <c r="N19" i="5"/>
  <c r="B14" i="15"/>
  <c r="N25" i="5"/>
  <c r="B20" i="15"/>
  <c r="N21" i="7"/>
  <c r="D16" i="15"/>
  <c r="N26" i="7"/>
  <c r="D21" i="15"/>
  <c r="N20" i="5"/>
  <c r="B15" i="15"/>
  <c r="N23" i="5"/>
  <c r="B18" i="15"/>
  <c r="N19" i="6"/>
  <c r="C14" i="15"/>
  <c r="N25" i="6"/>
  <c r="C20" i="15"/>
  <c r="O22" i="8"/>
  <c r="O23" i="8"/>
  <c r="O24" i="8"/>
  <c r="O28" i="8"/>
  <c r="N21" i="5"/>
  <c r="B16" i="15"/>
  <c r="N26" i="5"/>
  <c r="B21" i="15"/>
  <c r="N18" i="9"/>
  <c r="N21" i="9"/>
  <c r="N22" i="9"/>
  <c r="N23" i="9"/>
  <c r="N28" i="9"/>
  <c r="E4" i="4"/>
  <c r="N18" i="7"/>
  <c r="D13" i="15"/>
  <c r="B33" i="8"/>
  <c r="B35" i="8"/>
  <c r="N18" i="5"/>
  <c r="B13" i="15"/>
  <c r="N20" i="6"/>
  <c r="C15" i="15"/>
  <c r="N24" i="7"/>
  <c r="D19" i="15"/>
  <c r="O19" i="8"/>
  <c r="B8" i="4"/>
  <c r="N21" i="6"/>
  <c r="C16" i="15"/>
  <c r="N23" i="6"/>
  <c r="C18" i="15"/>
  <c r="N19" i="7"/>
  <c r="D14" i="15"/>
  <c r="N25" i="7"/>
  <c r="D20" i="15"/>
  <c r="N18" i="6"/>
  <c r="C13" i="15"/>
  <c r="N24" i="6"/>
  <c r="C19" i="15"/>
  <c r="N17" i="9"/>
  <c r="N24" i="9"/>
  <c r="N24" i="10"/>
  <c r="O17" i="8"/>
  <c r="O18" i="8"/>
  <c r="N19" i="9"/>
  <c r="O21" i="8"/>
  <c r="N19" i="10"/>
  <c r="N28" i="10"/>
  <c r="N29" i="10"/>
  <c r="B37" i="8"/>
  <c r="N25" i="10"/>
  <c r="N27" i="5"/>
  <c r="B22" i="15"/>
  <c r="N27" i="7"/>
  <c r="D22" i="15"/>
  <c r="N27" i="6"/>
  <c r="C22" i="15"/>
  <c r="C15" i="5"/>
  <c r="B15" i="5"/>
  <c r="D15" i="5"/>
  <c r="F15" i="5"/>
  <c r="E15" i="5"/>
  <c r="H15" i="5"/>
  <c r="G15" i="5"/>
  <c r="I15" i="5"/>
  <c r="O16" i="8"/>
  <c r="O20" i="8"/>
  <c r="N22" i="5"/>
  <c r="B17" i="15"/>
  <c r="N29" i="5"/>
  <c r="J15" i="5"/>
  <c r="O30" i="8"/>
  <c r="O10" i="8"/>
  <c r="N11" i="5"/>
  <c r="B7" i="15"/>
  <c r="O15" i="8"/>
  <c r="N7" i="5"/>
  <c r="B3" i="15"/>
  <c r="N8" i="5"/>
  <c r="O32" i="8"/>
  <c r="N10" i="5"/>
  <c r="B6" i="15"/>
  <c r="B8" i="15"/>
  <c r="B8" i="19"/>
  <c r="B7" i="19"/>
  <c r="B4" i="15"/>
  <c r="K15" i="5"/>
  <c r="B10" i="15"/>
  <c r="N12" i="5"/>
  <c r="C7" i="19"/>
  <c r="B9" i="19"/>
  <c r="C8" i="19"/>
  <c r="B11" i="12"/>
  <c r="B15" i="6"/>
  <c r="L15" i="5"/>
  <c r="N8" i="19"/>
  <c r="C9" i="19"/>
  <c r="N14" i="5"/>
  <c r="N15" i="5"/>
  <c r="M15" i="5"/>
  <c r="C11" i="12"/>
  <c r="D11" i="12"/>
  <c r="D15" i="6"/>
  <c r="E11" i="12"/>
  <c r="C15" i="6"/>
  <c r="F11" i="12"/>
  <c r="F15" i="6"/>
  <c r="G11" i="12"/>
  <c r="E15" i="6"/>
  <c r="H11" i="12"/>
  <c r="H15" i="6"/>
  <c r="G15" i="6"/>
  <c r="I11" i="12"/>
  <c r="J11" i="12"/>
  <c r="K11" i="12"/>
  <c r="N15" i="9"/>
  <c r="I15" i="6"/>
  <c r="N16" i="9"/>
  <c r="L11" i="12"/>
  <c r="N7" i="6"/>
  <c r="C3" i="15"/>
  <c r="N29" i="6"/>
  <c r="N10" i="9"/>
  <c r="N30" i="9"/>
  <c r="J15" i="6"/>
  <c r="N22" i="6"/>
  <c r="C17" i="15"/>
  <c r="N11" i="6"/>
  <c r="C7" i="15"/>
  <c r="N20" i="9"/>
  <c r="N32" i="9"/>
  <c r="N8" i="6"/>
  <c r="O7" i="19"/>
  <c r="D7" i="19"/>
  <c r="E7" i="19"/>
  <c r="C4" i="15"/>
  <c r="K15" i="6"/>
  <c r="N12" i="9"/>
  <c r="M11" i="12"/>
  <c r="N10" i="6"/>
  <c r="C6" i="15"/>
  <c r="C8" i="15"/>
  <c r="D8" i="19"/>
  <c r="B11" i="13"/>
  <c r="L15" i="6"/>
  <c r="N12" i="6"/>
  <c r="D9" i="19"/>
  <c r="O8" i="19"/>
  <c r="E8" i="19"/>
  <c r="C10" i="15"/>
  <c r="C11" i="13"/>
  <c r="N14" i="6"/>
  <c r="N15" i="6"/>
  <c r="M15" i="6"/>
  <c r="E9" i="19"/>
  <c r="B15" i="7"/>
  <c r="D11" i="13"/>
  <c r="D15" i="7"/>
  <c r="C15" i="7"/>
  <c r="E11" i="13"/>
  <c r="F11" i="13"/>
  <c r="G11" i="13"/>
  <c r="E15" i="7"/>
  <c r="G15" i="7"/>
  <c r="H11" i="13"/>
  <c r="F15" i="7"/>
  <c r="I11" i="13"/>
  <c r="H15" i="7"/>
  <c r="J11" i="13"/>
  <c r="N15" i="23"/>
  <c r="I15" i="7"/>
  <c r="K11" i="13"/>
  <c r="N22" i="7"/>
  <c r="D17" i="15"/>
  <c r="N11" i="7"/>
  <c r="D7" i="15"/>
  <c r="N20" i="10"/>
  <c r="N10" i="10"/>
  <c r="N30" i="23"/>
  <c r="N29" i="7"/>
  <c r="N16" i="10"/>
  <c r="N7" i="7"/>
  <c r="D3" i="15"/>
  <c r="L11" i="13"/>
  <c r="J15" i="7"/>
  <c r="N30" i="10"/>
  <c r="N15" i="10"/>
  <c r="N16" i="23"/>
  <c r="N20" i="23"/>
  <c r="N32" i="23"/>
  <c r="N10" i="23"/>
  <c r="N8" i="7"/>
  <c r="K15" i="7"/>
  <c r="N12" i="10"/>
  <c r="M11" i="13"/>
  <c r="N10" i="7"/>
  <c r="N32" i="10"/>
  <c r="F7" i="19"/>
  <c r="P7" i="19"/>
  <c r="D4" i="15"/>
  <c r="B15" i="21"/>
  <c r="D6" i="15"/>
  <c r="D8" i="15"/>
  <c r="F8" i="19"/>
  <c r="G8" i="19"/>
  <c r="N12" i="23"/>
  <c r="N14" i="7"/>
  <c r="N15" i="7"/>
  <c r="M15" i="7"/>
  <c r="G7" i="19"/>
  <c r="N12" i="7"/>
  <c r="L15" i="7"/>
  <c r="F9" i="19"/>
  <c r="P8" i="19"/>
  <c r="D10" i="15"/>
  <c r="C15" i="21"/>
  <c r="G9" i="19"/>
  <c r="D15" i="21"/>
  <c r="E15" i="21"/>
  <c r="G15" i="21"/>
  <c r="F15" i="21"/>
  <c r="H15" i="21"/>
  <c r="I15" i="21"/>
  <c r="J15" i="21"/>
  <c r="N11" i="21"/>
  <c r="E7" i="15"/>
  <c r="N30" i="24"/>
  <c r="N12" i="24"/>
  <c r="N10" i="24"/>
  <c r="N29" i="21"/>
  <c r="N15" i="24"/>
  <c r="K15" i="21"/>
  <c r="N16" i="24"/>
  <c r="N20" i="24"/>
  <c r="N7" i="21"/>
  <c r="E3" i="15"/>
  <c r="N32" i="24"/>
  <c r="L15" i="21"/>
  <c r="Q7" i="19"/>
  <c r="H7" i="19"/>
  <c r="E4" i="15"/>
  <c r="N22" i="21"/>
  <c r="E17" i="15"/>
  <c r="N12" i="21"/>
  <c r="N10" i="21"/>
  <c r="E6" i="15"/>
  <c r="E8" i="15"/>
  <c r="H8" i="19"/>
  <c r="I8" i="19"/>
  <c r="M15" i="21"/>
  <c r="N8" i="21"/>
  <c r="N14" i="21"/>
  <c r="N15" i="21"/>
  <c r="E10" i="15"/>
  <c r="H9" i="19"/>
  <c r="I7" i="19"/>
  <c r="B15" i="22"/>
  <c r="C15" i="22"/>
  <c r="Q8" i="19"/>
  <c r="I9" i="19"/>
  <c r="E15" i="22"/>
  <c r="D15" i="22"/>
  <c r="F15" i="22"/>
  <c r="H15" i="22"/>
  <c r="G15" i="22"/>
  <c r="I15" i="22"/>
  <c r="J15" i="22"/>
  <c r="L15" i="22"/>
  <c r="N11" i="22"/>
  <c r="F7" i="15"/>
  <c r="K15" i="22"/>
  <c r="N29" i="22"/>
  <c r="N7" i="22"/>
  <c r="F3" i="15"/>
  <c r="F4" i="15"/>
  <c r="R7" i="19"/>
  <c r="J7" i="19"/>
  <c r="N12" i="22"/>
  <c r="N10" i="22"/>
  <c r="F6" i="15"/>
  <c r="F8" i="15"/>
  <c r="J8" i="19"/>
  <c r="K8" i="19"/>
  <c r="N8" i="22"/>
  <c r="N22" i="22"/>
  <c r="F17" i="15"/>
  <c r="K7" i="19"/>
  <c r="J9" i="19"/>
  <c r="F10" i="15"/>
  <c r="N14" i="22"/>
  <c r="N15" i="22"/>
  <c r="M15" i="22"/>
  <c r="K9" i="19"/>
  <c r="R8" i="19"/>
  <c r="B23" i="15"/>
  <c r="B10" i="19"/>
  <c r="C10" i="19"/>
  <c r="H24" i="12"/>
  <c r="H25" i="12"/>
  <c r="G24" i="12"/>
  <c r="G25" i="12"/>
  <c r="K24" i="12"/>
  <c r="K25" i="12"/>
  <c r="C23" i="15"/>
  <c r="D10" i="19"/>
  <c r="E10" i="19"/>
  <c r="B24" i="12"/>
  <c r="B25" i="12"/>
  <c r="D24" i="12"/>
  <c r="D25" i="12"/>
  <c r="F24" i="12"/>
  <c r="F25" i="12"/>
  <c r="I24" i="12"/>
  <c r="I25" i="12"/>
  <c r="J24" i="12"/>
  <c r="J25" i="12"/>
  <c r="C24" i="12"/>
  <c r="C25" i="12"/>
  <c r="E24" i="12"/>
  <c r="E25" i="12"/>
  <c r="L24" i="12"/>
  <c r="L25" i="12"/>
  <c r="E24" i="13"/>
  <c r="E25" i="13"/>
  <c r="G24" i="13"/>
  <c r="G25" i="13"/>
  <c r="L24" i="13"/>
  <c r="L25" i="13"/>
  <c r="C24" i="13"/>
  <c r="C25" i="13"/>
  <c r="K24" i="13"/>
  <c r="K25" i="13"/>
  <c r="H24" i="13"/>
  <c r="H25" i="13"/>
  <c r="D24" i="13"/>
  <c r="D25" i="13"/>
  <c r="J24" i="13"/>
  <c r="J25" i="13"/>
  <c r="B24" i="13"/>
  <c r="B25" i="13"/>
  <c r="D23" i="15"/>
  <c r="F10" i="19"/>
  <c r="G10" i="19"/>
  <c r="M24" i="12"/>
  <c r="M25" i="12"/>
  <c r="F24" i="13"/>
  <c r="F25" i="13"/>
  <c r="I24" i="13"/>
  <c r="I25" i="13"/>
  <c r="J24" i="26"/>
  <c r="J25" i="26"/>
  <c r="K24" i="26"/>
  <c r="K25" i="26"/>
  <c r="B24" i="26"/>
  <c r="B25" i="26"/>
  <c r="M24" i="13"/>
  <c r="M25" i="13"/>
  <c r="I24" i="26"/>
  <c r="I25" i="26"/>
  <c r="F24" i="26"/>
  <c r="F25" i="26"/>
  <c r="C24" i="26"/>
  <c r="C25" i="26"/>
  <c r="M24" i="25"/>
  <c r="M25" i="25"/>
  <c r="L24" i="26"/>
  <c r="L25" i="26"/>
  <c r="G24" i="26"/>
  <c r="G25" i="26"/>
  <c r="D24" i="26"/>
  <c r="D25" i="26"/>
  <c r="E24" i="26"/>
  <c r="E25" i="26"/>
  <c r="H24" i="26"/>
  <c r="H25" i="26"/>
  <c r="D24" i="25"/>
  <c r="D25" i="25"/>
  <c r="M24" i="26"/>
  <c r="M25" i="26"/>
  <c r="L24" i="25"/>
  <c r="L25" i="25"/>
  <c r="B24" i="25"/>
  <c r="B25" i="25"/>
  <c r="F23" i="15"/>
  <c r="J10" i="19"/>
  <c r="K10" i="19"/>
  <c r="G24" i="25"/>
  <c r="G25" i="25"/>
  <c r="K24" i="25"/>
  <c r="K25" i="25"/>
  <c r="H24" i="25"/>
  <c r="H25" i="25"/>
  <c r="I24" i="25"/>
  <c r="I25" i="25"/>
  <c r="J24" i="25"/>
  <c r="J25" i="25"/>
  <c r="E23" i="15"/>
  <c r="H10" i="19"/>
  <c r="I10" i="19"/>
  <c r="C24" i="25"/>
  <c r="C25" i="25"/>
  <c r="F24" i="25"/>
  <c r="F25" i="25"/>
  <c r="E24" i="25"/>
  <c r="E25" i="25"/>
  <c r="E9" i="2" l="1"/>
  <c r="D69" i="2"/>
  <c r="E69" i="2" s="1"/>
  <c r="M28" i="25"/>
  <c r="M29" i="25" s="1"/>
  <c r="M31" i="25" s="1"/>
  <c r="G12" i="8"/>
  <c r="O12" i="8" s="1"/>
  <c r="O11" i="8"/>
  <c r="C15" i="11"/>
  <c r="B18" i="11"/>
  <c r="B20" i="11" s="1"/>
  <c r="B37" i="11" s="1"/>
  <c r="BE65" i="1"/>
  <c r="I30" i="22" s="1"/>
  <c r="AO65" i="1"/>
  <c r="E30" i="21" s="1"/>
  <c r="Y65" i="1"/>
  <c r="M30" i="6" s="1"/>
  <c r="B65" i="1"/>
  <c r="B30" i="5" s="1"/>
  <c r="N65" i="1"/>
  <c r="B30" i="6" s="1"/>
  <c r="R65" i="1"/>
  <c r="F30" i="6" s="1"/>
  <c r="V65" i="1"/>
  <c r="J30" i="6" s="1"/>
  <c r="Z65" i="1"/>
  <c r="B30" i="7" s="1"/>
  <c r="AD65" i="1"/>
  <c r="F30" i="7" s="1"/>
  <c r="AH65" i="1"/>
  <c r="J30" i="7" s="1"/>
  <c r="AL65" i="1"/>
  <c r="B30" i="21" s="1"/>
  <c r="AP65" i="1"/>
  <c r="F30" i="21" s="1"/>
  <c r="AT65" i="1"/>
  <c r="J30" i="21" s="1"/>
  <c r="AX65" i="1"/>
  <c r="B30" i="22" s="1"/>
  <c r="BB65" i="1"/>
  <c r="F30" i="22" s="1"/>
  <c r="BF65" i="1"/>
  <c r="J30" i="22" s="1"/>
  <c r="E65" i="1"/>
  <c r="E30" i="5" s="1"/>
  <c r="G65" i="1"/>
  <c r="G30" i="5" s="1"/>
  <c r="I65" i="1"/>
  <c r="I30" i="5" s="1"/>
  <c r="K65" i="1"/>
  <c r="K30" i="5" s="1"/>
  <c r="M65" i="1"/>
  <c r="M30" i="5" s="1"/>
  <c r="O65" i="1"/>
  <c r="C30" i="6" s="1"/>
  <c r="S65" i="1"/>
  <c r="G30" i="6" s="1"/>
  <c r="W65" i="1"/>
  <c r="K30" i="6" s="1"/>
  <c r="AA65" i="1"/>
  <c r="C30" i="7" s="1"/>
  <c r="AE65" i="1"/>
  <c r="G30" i="7" s="1"/>
  <c r="AI65" i="1"/>
  <c r="K30" i="7" s="1"/>
  <c r="AM65" i="1"/>
  <c r="C30" i="21" s="1"/>
  <c r="AQ65" i="1"/>
  <c r="G30" i="21" s="1"/>
  <c r="AU65" i="1"/>
  <c r="K30" i="21" s="1"/>
  <c r="AY65" i="1"/>
  <c r="C30" i="22" s="1"/>
  <c r="BC65" i="1"/>
  <c r="G30" i="22" s="1"/>
  <c r="BG65" i="1"/>
  <c r="K30" i="22" s="1"/>
  <c r="C65" i="1"/>
  <c r="C30" i="5" s="1"/>
  <c r="P65" i="1"/>
  <c r="D30" i="6" s="1"/>
  <c r="T65" i="1"/>
  <c r="H30" i="6" s="1"/>
  <c r="X65" i="1"/>
  <c r="L30" i="6" s="1"/>
  <c r="AB65" i="1"/>
  <c r="D30" i="7" s="1"/>
  <c r="AF65" i="1"/>
  <c r="H30" i="7" s="1"/>
  <c r="AJ65" i="1"/>
  <c r="L30" i="7" s="1"/>
  <c r="AN65" i="1"/>
  <c r="D30" i="21" s="1"/>
  <c r="AR65" i="1"/>
  <c r="H30" i="21" s="1"/>
  <c r="AV65" i="1"/>
  <c r="L30" i="21" s="1"/>
  <c r="AZ65" i="1"/>
  <c r="D30" i="22" s="1"/>
  <c r="BD65" i="1"/>
  <c r="H30" i="22" s="1"/>
  <c r="BH65" i="1"/>
  <c r="L30" i="22" s="1"/>
  <c r="J65" i="1"/>
  <c r="J30" i="5" s="1"/>
  <c r="B18" i="4"/>
  <c r="F10" i="2" l="1"/>
  <c r="C27" i="8"/>
  <c r="B38" i="11"/>
  <c r="B40" i="11" s="1"/>
  <c r="N30" i="6"/>
  <c r="D15" i="11"/>
  <c r="N30" i="7"/>
  <c r="B31" i="5"/>
  <c r="C17" i="11"/>
  <c r="C18" i="11" s="1"/>
  <c r="N30" i="5"/>
  <c r="N30" i="21"/>
  <c r="N30" i="22"/>
  <c r="C28" i="11" l="1"/>
  <c r="C29" i="11" s="1"/>
  <c r="C31" i="11" s="1"/>
  <c r="D10" i="2"/>
  <c r="B33" i="5"/>
  <c r="D17" i="1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B17" i="12" s="1"/>
  <c r="C17" i="12" s="1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B17" i="13" s="1"/>
  <c r="C17" i="13" s="1"/>
  <c r="D17" i="13" s="1"/>
  <c r="E17" i="13" s="1"/>
  <c r="F17" i="13" s="1"/>
  <c r="G17" i="13" s="1"/>
  <c r="H17" i="13" s="1"/>
  <c r="I17" i="13" s="1"/>
  <c r="J17" i="13" s="1"/>
  <c r="K17" i="13" s="1"/>
  <c r="L17" i="13" s="1"/>
  <c r="M17" i="13" s="1"/>
  <c r="B17" i="26" s="1"/>
  <c r="C17" i="26" s="1"/>
  <c r="D17" i="26" s="1"/>
  <c r="E17" i="26" s="1"/>
  <c r="F17" i="26" s="1"/>
  <c r="G17" i="26" s="1"/>
  <c r="H17" i="26" s="1"/>
  <c r="I17" i="26" s="1"/>
  <c r="J17" i="26" s="1"/>
  <c r="K17" i="26" s="1"/>
  <c r="L17" i="26" s="1"/>
  <c r="M17" i="26" s="1"/>
  <c r="B17" i="25" s="1"/>
  <c r="C17" i="25" s="1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E15" i="11"/>
  <c r="D26" i="8" l="1"/>
  <c r="C28" i="5"/>
  <c r="E10" i="2"/>
  <c r="E18" i="11"/>
  <c r="F15" i="11"/>
  <c r="D18" i="11"/>
  <c r="D27" i="8" l="1"/>
  <c r="F11" i="2"/>
  <c r="C31" i="5"/>
  <c r="F18" i="11"/>
  <c r="G15" i="11"/>
  <c r="D28" i="11" l="1"/>
  <c r="D29" i="11" s="1"/>
  <c r="D31" i="11" s="1"/>
  <c r="D11" i="2"/>
  <c r="C33" i="5"/>
  <c r="G18" i="11"/>
  <c r="H15" i="11"/>
  <c r="E26" i="8" l="1"/>
  <c r="D28" i="5"/>
  <c r="E11" i="2"/>
  <c r="H18" i="11"/>
  <c r="I15" i="11"/>
  <c r="E27" i="8" l="1"/>
  <c r="F12" i="2"/>
  <c r="D31" i="5"/>
  <c r="I18" i="11"/>
  <c r="J15" i="11"/>
  <c r="D12" i="2" l="1"/>
  <c r="E28" i="11"/>
  <c r="E29" i="11" s="1"/>
  <c r="E31" i="11" s="1"/>
  <c r="D33" i="5"/>
  <c r="J18" i="11"/>
  <c r="K15" i="11"/>
  <c r="E28" i="5" l="1"/>
  <c r="F26" i="8"/>
  <c r="E12" i="2"/>
  <c r="K18" i="11"/>
  <c r="L15" i="11"/>
  <c r="E31" i="5" l="1"/>
  <c r="F27" i="8"/>
  <c r="F13" i="2"/>
  <c r="L18" i="11"/>
  <c r="M15" i="11"/>
  <c r="E33" i="5" l="1"/>
  <c r="D13" i="2"/>
  <c r="F28" i="11"/>
  <c r="F29" i="11" s="1"/>
  <c r="F31" i="11" s="1"/>
  <c r="M18" i="11"/>
  <c r="N15" i="11"/>
  <c r="F28" i="5" l="1"/>
  <c r="F31" i="5" s="1"/>
  <c r="G26" i="8"/>
  <c r="E13" i="2"/>
  <c r="N18" i="11"/>
  <c r="B15" i="12"/>
  <c r="G27" i="8" l="1"/>
  <c r="F14" i="2"/>
  <c r="F33" i="5"/>
  <c r="C15" i="12"/>
  <c r="B18" i="12"/>
  <c r="G28" i="11" l="1"/>
  <c r="G29" i="11" s="1"/>
  <c r="G31" i="11" s="1"/>
  <c r="D14" i="2"/>
  <c r="D15" i="12"/>
  <c r="C18" i="12"/>
  <c r="H26" i="8" l="1"/>
  <c r="G28" i="5"/>
  <c r="G31" i="5" s="1"/>
  <c r="E14" i="2"/>
  <c r="E15" i="12"/>
  <c r="D18" i="12"/>
  <c r="H27" i="8" l="1"/>
  <c r="F15" i="2"/>
  <c r="G33" i="5"/>
  <c r="F15" i="12"/>
  <c r="E18" i="12"/>
  <c r="H28" i="11" l="1"/>
  <c r="H29" i="11" s="1"/>
  <c r="H31" i="11" s="1"/>
  <c r="D15" i="2"/>
  <c r="G15" i="12"/>
  <c r="F18" i="12"/>
  <c r="H28" i="5" l="1"/>
  <c r="H31" i="5" s="1"/>
  <c r="H33" i="5" s="1"/>
  <c r="I26" i="8"/>
  <c r="E15" i="2"/>
  <c r="H15" i="12"/>
  <c r="G18" i="12"/>
  <c r="I27" i="8" l="1"/>
  <c r="F16" i="2"/>
  <c r="I15" i="12"/>
  <c r="H18" i="12"/>
  <c r="D16" i="2" l="1"/>
  <c r="I28" i="11"/>
  <c r="I29" i="11" s="1"/>
  <c r="I31" i="11" s="1"/>
  <c r="I18" i="12"/>
  <c r="J15" i="12"/>
  <c r="I28" i="5" l="1"/>
  <c r="I31" i="5" s="1"/>
  <c r="I33" i="5" s="1"/>
  <c r="J26" i="8"/>
  <c r="E16" i="2"/>
  <c r="J18" i="12"/>
  <c r="K15" i="12"/>
  <c r="J27" i="8" l="1"/>
  <c r="F17" i="2"/>
  <c r="L15" i="12"/>
  <c r="K18" i="12"/>
  <c r="J28" i="11" l="1"/>
  <c r="J29" i="11" s="1"/>
  <c r="J31" i="11" s="1"/>
  <c r="D17" i="2"/>
  <c r="M15" i="12"/>
  <c r="L18" i="12"/>
  <c r="J28" i="5" l="1"/>
  <c r="J31" i="5" s="1"/>
  <c r="J33" i="5" s="1"/>
  <c r="K26" i="8"/>
  <c r="E17" i="2"/>
  <c r="B15" i="13"/>
  <c r="M18" i="12"/>
  <c r="K27" i="8" l="1"/>
  <c r="F18" i="2"/>
  <c r="C15" i="13"/>
  <c r="B18" i="13"/>
  <c r="K28" i="11" l="1"/>
  <c r="K29" i="11" s="1"/>
  <c r="K31" i="11" s="1"/>
  <c r="D18" i="2"/>
  <c r="D15" i="13"/>
  <c r="C18" i="13"/>
  <c r="L26" i="8" l="1"/>
  <c r="K28" i="5"/>
  <c r="K31" i="5" s="1"/>
  <c r="K33" i="5" s="1"/>
  <c r="E18" i="2"/>
  <c r="E15" i="13"/>
  <c r="D18" i="13"/>
  <c r="L27" i="8" l="1"/>
  <c r="F19" i="2"/>
  <c r="F15" i="13"/>
  <c r="E18" i="13"/>
  <c r="L28" i="11" l="1"/>
  <c r="L29" i="11" s="1"/>
  <c r="L31" i="11" s="1"/>
  <c r="D19" i="2"/>
  <c r="G15" i="13"/>
  <c r="F18" i="13"/>
  <c r="M26" i="8" l="1"/>
  <c r="L28" i="5"/>
  <c r="L31" i="5" s="1"/>
  <c r="L33" i="5" s="1"/>
  <c r="E19" i="2"/>
  <c r="H15" i="13"/>
  <c r="G18" i="13"/>
  <c r="M27" i="8" l="1"/>
  <c r="F20" i="2"/>
  <c r="I15" i="13"/>
  <c r="H18" i="13"/>
  <c r="D20" i="2" l="1"/>
  <c r="M28" i="11"/>
  <c r="M29" i="11" s="1"/>
  <c r="M31" i="11" s="1"/>
  <c r="J15" i="13"/>
  <c r="I18" i="13"/>
  <c r="M28" i="5" l="1"/>
  <c r="N26" i="8"/>
  <c r="O26" i="8" s="1"/>
  <c r="E20" i="2"/>
  <c r="K15" i="13"/>
  <c r="J18" i="13"/>
  <c r="N27" i="8" l="1"/>
  <c r="O27" i="8" s="1"/>
  <c r="F21" i="2"/>
  <c r="M31" i="5"/>
  <c r="N28" i="5"/>
  <c r="L15" i="13"/>
  <c r="K18" i="13"/>
  <c r="M33" i="5" l="1"/>
  <c r="N31" i="5"/>
  <c r="D21" i="2"/>
  <c r="N28" i="11"/>
  <c r="N29" i="11" s="1"/>
  <c r="N31" i="11" s="1"/>
  <c r="M15" i="13"/>
  <c r="L18" i="13"/>
  <c r="E21" i="2" l="1"/>
  <c r="B28" i="6"/>
  <c r="B26" i="9"/>
  <c r="N33" i="5"/>
  <c r="B15" i="26"/>
  <c r="M18" i="13"/>
  <c r="B31" i="6" l="1"/>
  <c r="N10" i="19"/>
  <c r="B25" i="15"/>
  <c r="N35" i="5"/>
  <c r="B27" i="9"/>
  <c r="F22" i="2"/>
  <c r="B18" i="26"/>
  <c r="C15" i="26"/>
  <c r="D35" i="5" l="1"/>
  <c r="H35" i="5"/>
  <c r="L35" i="5"/>
  <c r="E35" i="5"/>
  <c r="I35" i="5"/>
  <c r="M35" i="5"/>
  <c r="F35" i="5"/>
  <c r="J35" i="5"/>
  <c r="C35" i="5"/>
  <c r="B35" i="5"/>
  <c r="G35" i="5"/>
  <c r="K35" i="5"/>
  <c r="B27" i="15"/>
  <c r="B33" i="6"/>
  <c r="D22" i="2"/>
  <c r="B28" i="12"/>
  <c r="B29" i="12" s="1"/>
  <c r="B31" i="12" s="1"/>
  <c r="D15" i="26"/>
  <c r="C18" i="26"/>
  <c r="K31" i="8" l="1"/>
  <c r="K33" i="8" s="1"/>
  <c r="K35" i="8" s="1"/>
  <c r="J37" i="5"/>
  <c r="J101" i="16" s="1"/>
  <c r="F31" i="8"/>
  <c r="F33" i="8" s="1"/>
  <c r="F35" i="8" s="1"/>
  <c r="E37" i="5"/>
  <c r="E101" i="16" s="1"/>
  <c r="H31" i="8"/>
  <c r="H33" i="8" s="1"/>
  <c r="H35" i="8" s="1"/>
  <c r="G37" i="5"/>
  <c r="G101" i="16" s="1"/>
  <c r="G31" i="8"/>
  <c r="G33" i="8" s="1"/>
  <c r="G35" i="8" s="1"/>
  <c r="F37" i="5"/>
  <c r="F101" i="16" s="1"/>
  <c r="M31" i="8"/>
  <c r="M33" i="8" s="1"/>
  <c r="M35" i="8" s="1"/>
  <c r="L37" i="5"/>
  <c r="L101" i="16" s="1"/>
  <c r="C31" i="8"/>
  <c r="B37" i="5"/>
  <c r="N31" i="8"/>
  <c r="N33" i="8" s="1"/>
  <c r="N35" i="8" s="1"/>
  <c r="M37" i="5"/>
  <c r="M101" i="16" s="1"/>
  <c r="I31" i="8"/>
  <c r="I33" i="8" s="1"/>
  <c r="I35" i="8" s="1"/>
  <c r="H37" i="5"/>
  <c r="H101" i="16" s="1"/>
  <c r="L31" i="8"/>
  <c r="L33" i="8" s="1"/>
  <c r="L35" i="8" s="1"/>
  <c r="K37" i="5"/>
  <c r="K101" i="16" s="1"/>
  <c r="C28" i="6"/>
  <c r="C26" i="9"/>
  <c r="E22" i="2"/>
  <c r="D31" i="8"/>
  <c r="D33" i="8" s="1"/>
  <c r="D35" i="8" s="1"/>
  <c r="C37" i="5"/>
  <c r="C101" i="16" s="1"/>
  <c r="J31" i="8"/>
  <c r="J33" i="8" s="1"/>
  <c r="J35" i="8" s="1"/>
  <c r="I37" i="5"/>
  <c r="I101" i="16" s="1"/>
  <c r="E31" i="8"/>
  <c r="E33" i="8" s="1"/>
  <c r="E35" i="8" s="1"/>
  <c r="D37" i="5"/>
  <c r="D101" i="16" s="1"/>
  <c r="E15" i="26"/>
  <c r="D18" i="26"/>
  <c r="N37" i="5" l="1"/>
  <c r="B29" i="15" s="1"/>
  <c r="B11" i="19" s="1"/>
  <c r="B101" i="16"/>
  <c r="C37" i="11"/>
  <c r="C27" i="9"/>
  <c r="F23" i="2"/>
  <c r="C31" i="6"/>
  <c r="O31" i="8"/>
  <c r="C33" i="8"/>
  <c r="F15" i="26"/>
  <c r="E18" i="26"/>
  <c r="C38" i="11" l="1"/>
  <c r="C40" i="11" s="1"/>
  <c r="D37" i="11"/>
  <c r="C33" i="6"/>
  <c r="C35" i="8"/>
  <c r="O33" i="8"/>
  <c r="C11" i="19"/>
  <c r="N9" i="19"/>
  <c r="D23" i="2"/>
  <c r="C28" i="12"/>
  <c r="C29" i="12" s="1"/>
  <c r="C31" i="12" s="1"/>
  <c r="G15" i="26"/>
  <c r="F18" i="26"/>
  <c r="E37" i="11" l="1"/>
  <c r="D38" i="11"/>
  <c r="D40" i="11" s="1"/>
  <c r="D28" i="6"/>
  <c r="E23" i="2"/>
  <c r="D26" i="9"/>
  <c r="C9" i="11"/>
  <c r="C12" i="11" s="1"/>
  <c r="C20" i="11" s="1"/>
  <c r="C41" i="11" s="1"/>
  <c r="O35" i="8"/>
  <c r="C37" i="8"/>
  <c r="D37" i="8" s="1"/>
  <c r="E37" i="8" s="1"/>
  <c r="F37" i="8" s="1"/>
  <c r="G37" i="8" s="1"/>
  <c r="H37" i="8" s="1"/>
  <c r="I37" i="8" s="1"/>
  <c r="J37" i="8" s="1"/>
  <c r="K37" i="8" s="1"/>
  <c r="L37" i="8" s="1"/>
  <c r="M37" i="8" s="1"/>
  <c r="N37" i="8" s="1"/>
  <c r="O37" i="8" s="1"/>
  <c r="D7" i="8"/>
  <c r="H15" i="26"/>
  <c r="G18" i="26"/>
  <c r="D9" i="11" l="1"/>
  <c r="D12" i="11" s="1"/>
  <c r="D20" i="11" s="1"/>
  <c r="D41" i="11" s="1"/>
  <c r="E7" i="8"/>
  <c r="D27" i="9"/>
  <c r="F24" i="2"/>
  <c r="D31" i="6"/>
  <c r="E38" i="11"/>
  <c r="E40" i="11" s="1"/>
  <c r="F37" i="11"/>
  <c r="I15" i="26"/>
  <c r="H18" i="26"/>
  <c r="D33" i="6" l="1"/>
  <c r="E9" i="11"/>
  <c r="E12" i="11" s="1"/>
  <c r="E20" i="11" s="1"/>
  <c r="E41" i="11" s="1"/>
  <c r="F7" i="8"/>
  <c r="F38" i="11"/>
  <c r="F40" i="11" s="1"/>
  <c r="G37" i="11"/>
  <c r="D24" i="2"/>
  <c r="D28" i="12"/>
  <c r="D29" i="12" s="1"/>
  <c r="D31" i="12" s="1"/>
  <c r="J15" i="26"/>
  <c r="I18" i="26"/>
  <c r="E24" i="2" l="1"/>
  <c r="E28" i="6"/>
  <c r="E26" i="9"/>
  <c r="G38" i="11"/>
  <c r="G40" i="11" s="1"/>
  <c r="H37" i="11"/>
  <c r="F9" i="11"/>
  <c r="F12" i="11" s="1"/>
  <c r="F20" i="11" s="1"/>
  <c r="F41" i="11" s="1"/>
  <c r="G7" i="8"/>
  <c r="K15" i="26"/>
  <c r="J18" i="26"/>
  <c r="E31" i="6" l="1"/>
  <c r="G9" i="11"/>
  <c r="G12" i="11" s="1"/>
  <c r="G20" i="11" s="1"/>
  <c r="G41" i="11" s="1"/>
  <c r="H7" i="8"/>
  <c r="I37" i="11"/>
  <c r="H38" i="11"/>
  <c r="H40" i="11" s="1"/>
  <c r="E27" i="9"/>
  <c r="F25" i="2"/>
  <c r="L15" i="26"/>
  <c r="K18" i="26"/>
  <c r="D25" i="2" l="1"/>
  <c r="E28" i="12"/>
  <c r="E29" i="12" s="1"/>
  <c r="E31" i="12" s="1"/>
  <c r="I7" i="8"/>
  <c r="H9" i="11"/>
  <c r="H12" i="11" s="1"/>
  <c r="H20" i="11" s="1"/>
  <c r="H41" i="11" s="1"/>
  <c r="J37" i="11"/>
  <c r="I38" i="11"/>
  <c r="I40" i="11" s="1"/>
  <c r="E33" i="6"/>
  <c r="M15" i="26"/>
  <c r="L18" i="26"/>
  <c r="E25" i="2" l="1"/>
  <c r="F28" i="6"/>
  <c r="F26" i="9"/>
  <c r="J7" i="8"/>
  <c r="I9" i="11"/>
  <c r="I12" i="11" s="1"/>
  <c r="I20" i="11" s="1"/>
  <c r="I41" i="11" s="1"/>
  <c r="J38" i="11"/>
  <c r="J40" i="11" s="1"/>
  <c r="K37" i="11"/>
  <c r="B15" i="25"/>
  <c r="M18" i="26"/>
  <c r="F31" i="6" l="1"/>
  <c r="L37" i="11"/>
  <c r="K38" i="11"/>
  <c r="K40" i="11" s="1"/>
  <c r="K7" i="8"/>
  <c r="J9" i="11"/>
  <c r="J12" i="11" s="1"/>
  <c r="J20" i="11" s="1"/>
  <c r="J41" i="11" s="1"/>
  <c r="F27" i="9"/>
  <c r="F26" i="2"/>
  <c r="C15" i="25"/>
  <c r="B18" i="25"/>
  <c r="D26" i="2" l="1"/>
  <c r="F28" i="12"/>
  <c r="F29" i="12" s="1"/>
  <c r="F31" i="12" s="1"/>
  <c r="L38" i="11"/>
  <c r="L40" i="11" s="1"/>
  <c r="M37" i="11"/>
  <c r="L7" i="8"/>
  <c r="K9" i="11"/>
  <c r="K12" i="11" s="1"/>
  <c r="K20" i="11" s="1"/>
  <c r="K41" i="11" s="1"/>
  <c r="F33" i="6"/>
  <c r="D15" i="25"/>
  <c r="C18" i="25"/>
  <c r="N37" i="11" l="1"/>
  <c r="M38" i="11"/>
  <c r="M40" i="11" s="1"/>
  <c r="G28" i="6"/>
  <c r="G31" i="6" s="1"/>
  <c r="G33" i="6" s="1"/>
  <c r="G26" i="9"/>
  <c r="E26" i="2"/>
  <c r="L9" i="11"/>
  <c r="L12" i="11" s="1"/>
  <c r="L20" i="11" s="1"/>
  <c r="L41" i="11" s="1"/>
  <c r="M7" i="8"/>
  <c r="D18" i="25"/>
  <c r="E15" i="25"/>
  <c r="N7" i="8" l="1"/>
  <c r="M9" i="11"/>
  <c r="M12" i="11" s="1"/>
  <c r="M20" i="11" s="1"/>
  <c r="M41" i="11" s="1"/>
  <c r="G27" i="9"/>
  <c r="F27" i="2"/>
  <c r="N38" i="11"/>
  <c r="N40" i="11" s="1"/>
  <c r="E18" i="25"/>
  <c r="F15" i="25"/>
  <c r="B7" i="9" l="1"/>
  <c r="O7" i="8"/>
  <c r="N9" i="11"/>
  <c r="N12" i="11" s="1"/>
  <c r="N20" i="11" s="1"/>
  <c r="N41" i="11" s="1"/>
  <c r="D27" i="2"/>
  <c r="G28" i="12"/>
  <c r="G29" i="12" s="1"/>
  <c r="G31" i="12" s="1"/>
  <c r="F18" i="25"/>
  <c r="G15" i="25"/>
  <c r="H28" i="6" l="1"/>
  <c r="H31" i="6" s="1"/>
  <c r="H33" i="6" s="1"/>
  <c r="E27" i="2"/>
  <c r="H26" i="9"/>
  <c r="H15" i="25"/>
  <c r="G18" i="25"/>
  <c r="H27" i="9" l="1"/>
  <c r="F28" i="2"/>
  <c r="I15" i="25"/>
  <c r="H18" i="25"/>
  <c r="D28" i="2" l="1"/>
  <c r="H28" i="12"/>
  <c r="H29" i="12" s="1"/>
  <c r="H31" i="12" s="1"/>
  <c r="I18" i="25"/>
  <c r="J15" i="25"/>
  <c r="E28" i="2" l="1"/>
  <c r="I28" i="6"/>
  <c r="I31" i="6" s="1"/>
  <c r="I33" i="6" s="1"/>
  <c r="I26" i="9"/>
  <c r="J18" i="25"/>
  <c r="K15" i="25"/>
  <c r="I27" i="9" l="1"/>
  <c r="F29" i="2"/>
  <c r="L15" i="25"/>
  <c r="K18" i="25"/>
  <c r="D29" i="2" l="1"/>
  <c r="I28" i="12"/>
  <c r="I29" i="12" s="1"/>
  <c r="I31" i="12" s="1"/>
  <c r="M15" i="25"/>
  <c r="M18" i="25" s="1"/>
  <c r="L18" i="25"/>
  <c r="E29" i="2" l="1"/>
  <c r="J28" i="6"/>
  <c r="J31" i="6" s="1"/>
  <c r="J33" i="6" s="1"/>
  <c r="J26" i="9"/>
  <c r="J27" i="9" l="1"/>
  <c r="F30" i="2"/>
  <c r="D30" i="2" l="1"/>
  <c r="J28" i="12"/>
  <c r="J29" i="12" s="1"/>
  <c r="J31" i="12" s="1"/>
  <c r="K28" i="6" l="1"/>
  <c r="K31" i="6" s="1"/>
  <c r="K33" i="6" s="1"/>
  <c r="K26" i="9"/>
  <c r="E30" i="2"/>
  <c r="K27" i="9" l="1"/>
  <c r="F31" i="2"/>
  <c r="D31" i="2" l="1"/>
  <c r="K28" i="12"/>
  <c r="K29" i="12" s="1"/>
  <c r="K31" i="12" s="1"/>
  <c r="L28" i="6" l="1"/>
  <c r="L31" i="6" s="1"/>
  <c r="L33" i="6" s="1"/>
  <c r="L26" i="9"/>
  <c r="E31" i="2"/>
  <c r="L27" i="9" l="1"/>
  <c r="F32" i="2"/>
  <c r="D32" i="2" l="1"/>
  <c r="L28" i="12"/>
  <c r="L29" i="12" s="1"/>
  <c r="L31" i="12" s="1"/>
  <c r="E32" i="2" l="1"/>
  <c r="M28" i="6"/>
  <c r="M26" i="9"/>
  <c r="N26" i="9" s="1"/>
  <c r="M27" i="9" l="1"/>
  <c r="N27" i="9" s="1"/>
  <c r="F33" i="2"/>
  <c r="M31" i="6"/>
  <c r="N28" i="6"/>
  <c r="M33" i="6" l="1"/>
  <c r="N31" i="6"/>
  <c r="D33" i="2"/>
  <c r="M28" i="12"/>
  <c r="M29" i="12" s="1"/>
  <c r="M31" i="12" s="1"/>
  <c r="N33" i="6" l="1"/>
  <c r="E33" i="2"/>
  <c r="B28" i="7"/>
  <c r="B26" i="10"/>
  <c r="B31" i="7" l="1"/>
  <c r="B27" i="10"/>
  <c r="F34" i="2"/>
  <c r="N35" i="6"/>
  <c r="C25" i="15"/>
  <c r="O10" i="19"/>
  <c r="B33" i="7" l="1"/>
  <c r="D35" i="6"/>
  <c r="L35" i="6"/>
  <c r="B35" i="6"/>
  <c r="C35" i="6"/>
  <c r="I35" i="6"/>
  <c r="E35" i="6"/>
  <c r="M35" i="6"/>
  <c r="G35" i="6"/>
  <c r="C27" i="15"/>
  <c r="H35" i="6"/>
  <c r="K35" i="6"/>
  <c r="F35" i="6"/>
  <c r="J35" i="6"/>
  <c r="D34" i="2"/>
  <c r="B28" i="13"/>
  <c r="B29" i="13" s="1"/>
  <c r="B31" i="13" s="1"/>
  <c r="C28" i="7" l="1"/>
  <c r="C26" i="10"/>
  <c r="E34" i="2"/>
  <c r="E31" i="9"/>
  <c r="E33" i="9" s="1"/>
  <c r="E35" i="9" s="1"/>
  <c r="E37" i="6"/>
  <c r="Q101" i="16" s="1"/>
  <c r="L31" i="9"/>
  <c r="L33" i="9" s="1"/>
  <c r="L35" i="9" s="1"/>
  <c r="L37" i="6"/>
  <c r="X101" i="16" s="1"/>
  <c r="F31" i="9"/>
  <c r="F33" i="9" s="1"/>
  <c r="F35" i="9" s="1"/>
  <c r="F37" i="6"/>
  <c r="R101" i="16" s="1"/>
  <c r="G31" i="9"/>
  <c r="G33" i="9" s="1"/>
  <c r="G35" i="9" s="1"/>
  <c r="G37" i="6"/>
  <c r="S101" i="16" s="1"/>
  <c r="C31" i="9"/>
  <c r="C33" i="9" s="1"/>
  <c r="C35" i="9" s="1"/>
  <c r="C37" i="6"/>
  <c r="O101" i="16" s="1"/>
  <c r="H31" i="9"/>
  <c r="H33" i="9" s="1"/>
  <c r="H35" i="9" s="1"/>
  <c r="H37" i="6"/>
  <c r="T101" i="16" s="1"/>
  <c r="J31" i="9"/>
  <c r="J33" i="9" s="1"/>
  <c r="J35" i="9" s="1"/>
  <c r="J37" i="6"/>
  <c r="V101" i="16" s="1"/>
  <c r="I31" i="9"/>
  <c r="I33" i="9" s="1"/>
  <c r="I35" i="9" s="1"/>
  <c r="I37" i="6"/>
  <c r="U101" i="16" s="1"/>
  <c r="D31" i="9"/>
  <c r="D33" i="9" s="1"/>
  <c r="D35" i="9" s="1"/>
  <c r="D37" i="6"/>
  <c r="P101" i="16" s="1"/>
  <c r="K31" i="9"/>
  <c r="K33" i="9" s="1"/>
  <c r="K35" i="9" s="1"/>
  <c r="K37" i="6"/>
  <c r="W101" i="16" s="1"/>
  <c r="M31" i="9"/>
  <c r="M33" i="9" s="1"/>
  <c r="M35" i="9" s="1"/>
  <c r="M37" i="6"/>
  <c r="Y101" i="16" s="1"/>
  <c r="B31" i="9"/>
  <c r="B37" i="6"/>
  <c r="N31" i="9" l="1"/>
  <c r="B33" i="9"/>
  <c r="C27" i="10"/>
  <c r="F35" i="2"/>
  <c r="N101" i="16"/>
  <c r="N37" i="6"/>
  <c r="C29" i="15" s="1"/>
  <c r="D11" i="19" s="1"/>
  <c r="B37" i="12"/>
  <c r="C31" i="7"/>
  <c r="C33" i="7" l="1"/>
  <c r="C37" i="12"/>
  <c r="B38" i="12"/>
  <c r="B40" i="12" s="1"/>
  <c r="E11" i="19"/>
  <c r="O9" i="19"/>
  <c r="B35" i="9"/>
  <c r="N33" i="9"/>
  <c r="D35" i="2"/>
  <c r="C28" i="13"/>
  <c r="C29" i="13" s="1"/>
  <c r="C31" i="13" s="1"/>
  <c r="B37" i="9" l="1"/>
  <c r="C37" i="9" s="1"/>
  <c r="D37" i="9" s="1"/>
  <c r="E37" i="9" s="1"/>
  <c r="F37" i="9" s="1"/>
  <c r="G37" i="9" s="1"/>
  <c r="H37" i="9" s="1"/>
  <c r="I37" i="9" s="1"/>
  <c r="J37" i="9" s="1"/>
  <c r="K37" i="9" s="1"/>
  <c r="L37" i="9" s="1"/>
  <c r="M37" i="9" s="1"/>
  <c r="N37" i="9" s="1"/>
  <c r="N35" i="9"/>
  <c r="B9" i="12"/>
  <c r="B12" i="12" s="1"/>
  <c r="B20" i="12" s="1"/>
  <c r="C7" i="9"/>
  <c r="D37" i="12"/>
  <c r="C38" i="12"/>
  <c r="C40" i="12" s="1"/>
  <c r="D28" i="7"/>
  <c r="E35" i="2"/>
  <c r="D26" i="10"/>
  <c r="D27" i="10" l="1"/>
  <c r="F36" i="2"/>
  <c r="D7" i="9"/>
  <c r="C9" i="12"/>
  <c r="C12" i="12" s="1"/>
  <c r="C20" i="12" s="1"/>
  <c r="D31" i="7"/>
  <c r="D38" i="12"/>
  <c r="D40" i="12" s="1"/>
  <c r="E37" i="12"/>
  <c r="D9" i="12" l="1"/>
  <c r="D12" i="12" s="1"/>
  <c r="D20" i="12" s="1"/>
  <c r="E7" i="9"/>
  <c r="D36" i="2"/>
  <c r="D28" i="13"/>
  <c r="D29" i="13" s="1"/>
  <c r="D31" i="13" s="1"/>
  <c r="E38" i="12"/>
  <c r="E40" i="12" s="1"/>
  <c r="F37" i="12"/>
  <c r="D33" i="7"/>
  <c r="G37" i="12" l="1"/>
  <c r="F38" i="12"/>
  <c r="F40" i="12" s="1"/>
  <c r="E36" i="2"/>
  <c r="E28" i="7"/>
  <c r="E26" i="10"/>
  <c r="F7" i="9"/>
  <c r="E9" i="12"/>
  <c r="E12" i="12" s="1"/>
  <c r="E20" i="12" s="1"/>
  <c r="H37" i="12" l="1"/>
  <c r="G38" i="12"/>
  <c r="G40" i="12" s="1"/>
  <c r="E31" i="7"/>
  <c r="G7" i="9"/>
  <c r="F9" i="12"/>
  <c r="F12" i="12" s="1"/>
  <c r="F20" i="12" s="1"/>
  <c r="E27" i="10"/>
  <c r="F37" i="2"/>
  <c r="D37" i="2" l="1"/>
  <c r="E28" i="13"/>
  <c r="E29" i="13" s="1"/>
  <c r="E31" i="13" s="1"/>
  <c r="E33" i="7"/>
  <c r="H7" i="9"/>
  <c r="G9" i="12"/>
  <c r="G12" i="12" s="1"/>
  <c r="G20" i="12" s="1"/>
  <c r="H38" i="12"/>
  <c r="H40" i="12" s="1"/>
  <c r="I37" i="12"/>
  <c r="I38" i="12" l="1"/>
  <c r="I40" i="12" s="1"/>
  <c r="J37" i="12"/>
  <c r="E37" i="2"/>
  <c r="F28" i="7"/>
  <c r="F26" i="10"/>
  <c r="H9" i="12"/>
  <c r="H12" i="12" s="1"/>
  <c r="H20" i="12" s="1"/>
  <c r="I7" i="9"/>
  <c r="F31" i="7" l="1"/>
  <c r="F27" i="10"/>
  <c r="F38" i="2"/>
  <c r="I9" i="12"/>
  <c r="I12" i="12" s="1"/>
  <c r="I20" i="12" s="1"/>
  <c r="J7" i="9"/>
  <c r="K37" i="12"/>
  <c r="J38" i="12"/>
  <c r="J40" i="12" s="1"/>
  <c r="D38" i="2" l="1"/>
  <c r="F28" i="13"/>
  <c r="F29" i="13" s="1"/>
  <c r="F31" i="13" s="1"/>
  <c r="K38" i="12"/>
  <c r="K40" i="12" s="1"/>
  <c r="L37" i="12"/>
  <c r="F33" i="7"/>
  <c r="J9" i="12"/>
  <c r="J12" i="12" s="1"/>
  <c r="J20" i="12" s="1"/>
  <c r="K7" i="9"/>
  <c r="G28" i="7" l="1"/>
  <c r="G31" i="7" s="1"/>
  <c r="G33" i="7" s="1"/>
  <c r="G26" i="10"/>
  <c r="E38" i="2"/>
  <c r="K9" i="12"/>
  <c r="K12" i="12" s="1"/>
  <c r="K20" i="12" s="1"/>
  <c r="L7" i="9"/>
  <c r="M37" i="12"/>
  <c r="L38" i="12"/>
  <c r="L40" i="12" s="1"/>
  <c r="G27" i="10" l="1"/>
  <c r="F39" i="2"/>
  <c r="L9" i="12"/>
  <c r="L12" i="12" s="1"/>
  <c r="L20" i="12" s="1"/>
  <c r="M7" i="9"/>
  <c r="M38" i="12"/>
  <c r="M40" i="12" s="1"/>
  <c r="D39" i="2" l="1"/>
  <c r="G28" i="13"/>
  <c r="G29" i="13" s="1"/>
  <c r="G31" i="13" s="1"/>
  <c r="B7" i="10"/>
  <c r="N7" i="9"/>
  <c r="M9" i="12"/>
  <c r="M12" i="12" s="1"/>
  <c r="M20" i="12" s="1"/>
  <c r="H28" i="7" l="1"/>
  <c r="H31" i="7" s="1"/>
  <c r="H33" i="7" s="1"/>
  <c r="H26" i="10"/>
  <c r="E39" i="2"/>
  <c r="H27" i="10" l="1"/>
  <c r="F40" i="2"/>
  <c r="D40" i="2" l="1"/>
  <c r="H28" i="13"/>
  <c r="H29" i="13" s="1"/>
  <c r="H31" i="13" s="1"/>
  <c r="I28" i="7" l="1"/>
  <c r="I31" i="7" s="1"/>
  <c r="I33" i="7" s="1"/>
  <c r="I26" i="10"/>
  <c r="E40" i="2"/>
  <c r="I27" i="10" l="1"/>
  <c r="F41" i="2"/>
  <c r="D41" i="2" l="1"/>
  <c r="I28" i="13"/>
  <c r="I29" i="13" s="1"/>
  <c r="I31" i="13" s="1"/>
  <c r="J28" i="7" l="1"/>
  <c r="J31" i="7" s="1"/>
  <c r="J33" i="7" s="1"/>
  <c r="J26" i="10"/>
  <c r="E41" i="2"/>
  <c r="J27" i="10" l="1"/>
  <c r="F42" i="2"/>
  <c r="D42" i="2" l="1"/>
  <c r="J28" i="13"/>
  <c r="J29" i="13" s="1"/>
  <c r="J31" i="13" s="1"/>
  <c r="K28" i="7" l="1"/>
  <c r="K31" i="7" s="1"/>
  <c r="K33" i="7" s="1"/>
  <c r="K26" i="10"/>
  <c r="E42" i="2"/>
  <c r="K27" i="10" l="1"/>
  <c r="F43" i="2"/>
  <c r="D43" i="2" l="1"/>
  <c r="K28" i="13"/>
  <c r="K29" i="13" s="1"/>
  <c r="K31" i="13" s="1"/>
  <c r="L28" i="7" l="1"/>
  <c r="L31" i="7" s="1"/>
  <c r="L33" i="7" s="1"/>
  <c r="L26" i="10"/>
  <c r="E43" i="2"/>
  <c r="L27" i="10" l="1"/>
  <c r="F44" i="2"/>
  <c r="D44" i="2" l="1"/>
  <c r="L28" i="13"/>
  <c r="L29" i="13" s="1"/>
  <c r="L31" i="13" s="1"/>
  <c r="M28" i="7" l="1"/>
  <c r="M26" i="10"/>
  <c r="N26" i="10" s="1"/>
  <c r="E44" i="2"/>
  <c r="M27" i="10" l="1"/>
  <c r="N27" i="10" s="1"/>
  <c r="F45" i="2"/>
  <c r="M31" i="7"/>
  <c r="N28" i="7"/>
  <c r="M33" i="7" l="1"/>
  <c r="N31" i="7"/>
  <c r="D45" i="2"/>
  <c r="M28" i="13"/>
  <c r="M29" i="13" s="1"/>
  <c r="M31" i="13" s="1"/>
  <c r="B28" i="21" l="1"/>
  <c r="B26" i="24"/>
  <c r="E45" i="2"/>
  <c r="N33" i="7"/>
  <c r="B27" i="24" l="1"/>
  <c r="F46" i="2"/>
  <c r="D25" i="15"/>
  <c r="P10" i="19"/>
  <c r="N35" i="7"/>
  <c r="B31" i="21"/>
  <c r="L35" i="7" l="1"/>
  <c r="J35" i="7"/>
  <c r="G35" i="7"/>
  <c r="K35" i="7"/>
  <c r="F27" i="15"/>
  <c r="D27" i="15"/>
  <c r="E27" i="15"/>
  <c r="D35" i="7"/>
  <c r="B35" i="7"/>
  <c r="E35" i="7"/>
  <c r="I35" i="7"/>
  <c r="H35" i="7"/>
  <c r="F35" i="7"/>
  <c r="M35" i="7"/>
  <c r="C35" i="7"/>
  <c r="D46" i="2"/>
  <c r="B28" i="26"/>
  <c r="B29" i="26" s="1"/>
  <c r="B31" i="26" s="1"/>
  <c r="B33" i="21"/>
  <c r="C28" i="21" l="1"/>
  <c r="C26" i="24"/>
  <c r="E46" i="2"/>
  <c r="D31" i="10"/>
  <c r="D33" i="10" s="1"/>
  <c r="D35" i="10" s="1"/>
  <c r="D37" i="7"/>
  <c r="AB101" i="16" s="1"/>
  <c r="C31" i="10"/>
  <c r="C33" i="10" s="1"/>
  <c r="C35" i="10" s="1"/>
  <c r="C37" i="7"/>
  <c r="AA101" i="16" s="1"/>
  <c r="I31" i="10"/>
  <c r="I33" i="10" s="1"/>
  <c r="I35" i="10" s="1"/>
  <c r="I37" i="7"/>
  <c r="AG101" i="16" s="1"/>
  <c r="G31" i="10"/>
  <c r="G33" i="10" s="1"/>
  <c r="G35" i="10" s="1"/>
  <c r="G37" i="7"/>
  <c r="AE101" i="16" s="1"/>
  <c r="H31" i="10"/>
  <c r="H33" i="10" s="1"/>
  <c r="H35" i="10" s="1"/>
  <c r="H37" i="7"/>
  <c r="AF101" i="16" s="1"/>
  <c r="M31" i="10"/>
  <c r="M33" i="10" s="1"/>
  <c r="M35" i="10" s="1"/>
  <c r="M37" i="7"/>
  <c r="AK101" i="16" s="1"/>
  <c r="E31" i="10"/>
  <c r="E33" i="10" s="1"/>
  <c r="E35" i="10" s="1"/>
  <c r="E37" i="7"/>
  <c r="AC101" i="16" s="1"/>
  <c r="J31" i="10"/>
  <c r="J33" i="10" s="1"/>
  <c r="J35" i="10" s="1"/>
  <c r="J37" i="7"/>
  <c r="AH101" i="16" s="1"/>
  <c r="K31" i="10"/>
  <c r="K33" i="10" s="1"/>
  <c r="K35" i="10" s="1"/>
  <c r="K37" i="7"/>
  <c r="AI101" i="16" s="1"/>
  <c r="F31" i="10"/>
  <c r="F33" i="10" s="1"/>
  <c r="F35" i="10" s="1"/>
  <c r="F37" i="7"/>
  <c r="AD101" i="16" s="1"/>
  <c r="B31" i="10"/>
  <c r="B37" i="7"/>
  <c r="L31" i="10"/>
  <c r="L33" i="10" s="1"/>
  <c r="L35" i="10" s="1"/>
  <c r="L37" i="7"/>
  <c r="AJ101" i="16" s="1"/>
  <c r="Z101" i="16" l="1"/>
  <c r="N37" i="7"/>
  <c r="B37" i="13"/>
  <c r="C27" i="24"/>
  <c r="F47" i="2"/>
  <c r="N31" i="10"/>
  <c r="B33" i="10"/>
  <c r="C31" i="21"/>
  <c r="C33" i="21" l="1"/>
  <c r="D47" i="2"/>
  <c r="C28" i="26"/>
  <c r="C29" i="26" s="1"/>
  <c r="C31" i="26" s="1"/>
  <c r="B35" i="10"/>
  <c r="N33" i="10"/>
  <c r="B38" i="13"/>
  <c r="B40" i="13" s="1"/>
  <c r="C37" i="13"/>
  <c r="D29" i="15"/>
  <c r="F11" i="19" s="1"/>
  <c r="F29" i="15"/>
  <c r="J11" i="19" s="1"/>
  <c r="E29" i="15"/>
  <c r="H11" i="19" s="1"/>
  <c r="D28" i="21" l="1"/>
  <c r="E47" i="2"/>
  <c r="D26" i="24"/>
  <c r="R9" i="19"/>
  <c r="K11" i="19"/>
  <c r="P9" i="19"/>
  <c r="G11" i="19"/>
  <c r="N35" i="10"/>
  <c r="B37" i="10"/>
  <c r="C37" i="10" s="1"/>
  <c r="D37" i="10" s="1"/>
  <c r="E37" i="10" s="1"/>
  <c r="F37" i="10" s="1"/>
  <c r="G37" i="10" s="1"/>
  <c r="H37" i="10" s="1"/>
  <c r="I37" i="10" s="1"/>
  <c r="J37" i="10" s="1"/>
  <c r="K37" i="10" s="1"/>
  <c r="L37" i="10" s="1"/>
  <c r="M37" i="10" s="1"/>
  <c r="N37" i="10" s="1"/>
  <c r="B9" i="13"/>
  <c r="B12" i="13" s="1"/>
  <c r="B20" i="13" s="1"/>
  <c r="C7" i="10"/>
  <c r="D37" i="13"/>
  <c r="C38" i="13"/>
  <c r="C40" i="13" s="1"/>
  <c r="I11" i="19"/>
  <c r="Q9" i="19"/>
  <c r="D27" i="24" l="1"/>
  <c r="F48" i="2"/>
  <c r="D38" i="13"/>
  <c r="D40" i="13" s="1"/>
  <c r="E37" i="13"/>
  <c r="D7" i="10"/>
  <c r="C9" i="13"/>
  <c r="C12" i="13" s="1"/>
  <c r="C20" i="13" s="1"/>
  <c r="D31" i="21"/>
  <c r="D48" i="2" l="1"/>
  <c r="D28" i="26"/>
  <c r="D29" i="26" s="1"/>
  <c r="D31" i="26" s="1"/>
  <c r="E7" i="10"/>
  <c r="D9" i="13"/>
  <c r="D12" i="13" s="1"/>
  <c r="D20" i="13" s="1"/>
  <c r="D33" i="21"/>
  <c r="F37" i="13"/>
  <c r="E38" i="13"/>
  <c r="E40" i="13" s="1"/>
  <c r="F7" i="10" l="1"/>
  <c r="E9" i="13"/>
  <c r="E12" i="13" s="1"/>
  <c r="E20" i="13" s="1"/>
  <c r="G37" i="13"/>
  <c r="F38" i="13"/>
  <c r="F40" i="13" s="1"/>
  <c r="E28" i="21"/>
  <c r="E26" i="24"/>
  <c r="E48" i="2"/>
  <c r="E31" i="21" l="1"/>
  <c r="E27" i="24"/>
  <c r="F49" i="2"/>
  <c r="G38" i="13"/>
  <c r="G40" i="13" s="1"/>
  <c r="H37" i="13"/>
  <c r="G7" i="10"/>
  <c r="F9" i="13"/>
  <c r="F12" i="13" s="1"/>
  <c r="F20" i="13" s="1"/>
  <c r="D49" i="2" l="1"/>
  <c r="E28" i="26"/>
  <c r="E29" i="26" s="1"/>
  <c r="E31" i="26" s="1"/>
  <c r="G9" i="13"/>
  <c r="G12" i="13" s="1"/>
  <c r="G20" i="13" s="1"/>
  <c r="H7" i="10"/>
  <c r="H38" i="13"/>
  <c r="H40" i="13" s="1"/>
  <c r="I37" i="13"/>
  <c r="E33" i="21"/>
  <c r="I38" i="13" l="1"/>
  <c r="I40" i="13" s="1"/>
  <c r="J37" i="13"/>
  <c r="H9" i="13"/>
  <c r="H12" i="13" s="1"/>
  <c r="H20" i="13" s="1"/>
  <c r="I7" i="10"/>
  <c r="F28" i="21"/>
  <c r="F26" i="24"/>
  <c r="E49" i="2"/>
  <c r="F31" i="21" l="1"/>
  <c r="I9" i="13"/>
  <c r="I12" i="13" s="1"/>
  <c r="I20" i="13" s="1"/>
  <c r="J7" i="10"/>
  <c r="J38" i="13"/>
  <c r="J40" i="13" s="1"/>
  <c r="K37" i="13"/>
  <c r="F27" i="24"/>
  <c r="F50" i="2"/>
  <c r="D50" i="2" l="1"/>
  <c r="F28" i="26"/>
  <c r="F29" i="26" s="1"/>
  <c r="F31" i="26" s="1"/>
  <c r="K7" i="10"/>
  <c r="J9" i="13"/>
  <c r="J12" i="13" s="1"/>
  <c r="J20" i="13" s="1"/>
  <c r="K38" i="13"/>
  <c r="K40" i="13" s="1"/>
  <c r="L37" i="13"/>
  <c r="F33" i="21"/>
  <c r="L7" i="10" l="1"/>
  <c r="K9" i="13"/>
  <c r="K12" i="13" s="1"/>
  <c r="K20" i="13" s="1"/>
  <c r="L38" i="13"/>
  <c r="L40" i="13" s="1"/>
  <c r="M37" i="13"/>
  <c r="G28" i="21"/>
  <c r="G31" i="21" s="1"/>
  <c r="G33" i="21" s="1"/>
  <c r="G26" i="24"/>
  <c r="E50" i="2"/>
  <c r="M38" i="13" l="1"/>
  <c r="M40" i="13" s="1"/>
  <c r="L9" i="13"/>
  <c r="L12" i="13" s="1"/>
  <c r="L20" i="13" s="1"/>
  <c r="M7" i="10"/>
  <c r="G27" i="24"/>
  <c r="F51" i="2"/>
  <c r="N7" i="10" l="1"/>
  <c r="B7" i="24"/>
  <c r="M9" i="13"/>
  <c r="M12" i="13" s="1"/>
  <c r="M20" i="13" s="1"/>
  <c r="D51" i="2"/>
  <c r="G28" i="26"/>
  <c r="G29" i="26" s="1"/>
  <c r="G31" i="26" s="1"/>
  <c r="H28" i="21" l="1"/>
  <c r="H31" i="21" s="1"/>
  <c r="H33" i="21" s="1"/>
  <c r="H26" i="24"/>
  <c r="E51" i="2"/>
  <c r="H27" i="24" l="1"/>
  <c r="F52" i="2"/>
  <c r="D52" i="2" l="1"/>
  <c r="H28" i="26"/>
  <c r="H29" i="26" s="1"/>
  <c r="H31" i="26" s="1"/>
  <c r="I28" i="21" l="1"/>
  <c r="I31" i="21" s="1"/>
  <c r="I33" i="21" s="1"/>
  <c r="I26" i="24"/>
  <c r="E52" i="2"/>
  <c r="I27" i="24" l="1"/>
  <c r="F53" i="2"/>
  <c r="D53" i="2" l="1"/>
  <c r="I28" i="26"/>
  <c r="I29" i="26" s="1"/>
  <c r="I31" i="26" s="1"/>
  <c r="J28" i="21" l="1"/>
  <c r="J31" i="21" s="1"/>
  <c r="J33" i="21" s="1"/>
  <c r="J26" i="24"/>
  <c r="E53" i="2"/>
  <c r="J27" i="24" l="1"/>
  <c r="F54" i="2"/>
  <c r="D54" i="2" l="1"/>
  <c r="J28" i="26"/>
  <c r="J29" i="26" s="1"/>
  <c r="J31" i="26" s="1"/>
  <c r="K28" i="21" l="1"/>
  <c r="K31" i="21" s="1"/>
  <c r="K33" i="21" s="1"/>
  <c r="K26" i="24"/>
  <c r="E54" i="2"/>
  <c r="K27" i="24" l="1"/>
  <c r="F55" i="2"/>
  <c r="D55" i="2" l="1"/>
  <c r="K28" i="26"/>
  <c r="K29" i="26" s="1"/>
  <c r="K31" i="26" s="1"/>
  <c r="L28" i="21" l="1"/>
  <c r="L31" i="21" s="1"/>
  <c r="L33" i="21" s="1"/>
  <c r="E55" i="2"/>
  <c r="L26" i="24"/>
  <c r="L27" i="24" l="1"/>
  <c r="F56" i="2"/>
  <c r="D56" i="2" l="1"/>
  <c r="L28" i="26"/>
  <c r="L29" i="26" s="1"/>
  <c r="L31" i="26" s="1"/>
  <c r="M28" i="21" l="1"/>
  <c r="M26" i="24"/>
  <c r="N26" i="24" s="1"/>
  <c r="E56" i="2"/>
  <c r="M27" i="24" l="1"/>
  <c r="N27" i="24" s="1"/>
  <c r="F57" i="2"/>
  <c r="M31" i="21"/>
  <c r="N28" i="21"/>
  <c r="D57" i="2" l="1"/>
  <c r="M28" i="26"/>
  <c r="M29" i="26" s="1"/>
  <c r="M31" i="26" s="1"/>
  <c r="M33" i="21"/>
  <c r="N31" i="21"/>
  <c r="N33" i="21" l="1"/>
  <c r="B28" i="22"/>
  <c r="B26" i="23"/>
  <c r="E57" i="2"/>
  <c r="B31" i="22" l="1"/>
  <c r="N35" i="21"/>
  <c r="Q10" i="19"/>
  <c r="E25" i="15"/>
  <c r="B27" i="23"/>
  <c r="F58" i="2"/>
  <c r="J35" i="21" l="1"/>
  <c r="M35" i="21"/>
  <c r="E35" i="21"/>
  <c r="G35" i="21"/>
  <c r="H35" i="21"/>
  <c r="K35" i="21"/>
  <c r="B35" i="21"/>
  <c r="L35" i="21"/>
  <c r="D35" i="21"/>
  <c r="F35" i="21"/>
  <c r="C35" i="21"/>
  <c r="I35" i="21"/>
  <c r="B33" i="22"/>
  <c r="D58" i="2"/>
  <c r="B28" i="25"/>
  <c r="B29" i="25" s="1"/>
  <c r="B31" i="25" s="1"/>
  <c r="F31" i="24" l="1"/>
  <c r="F33" i="24" s="1"/>
  <c r="F35" i="24" s="1"/>
  <c r="F37" i="21"/>
  <c r="K31" i="24"/>
  <c r="K33" i="24" s="1"/>
  <c r="K35" i="24" s="1"/>
  <c r="K37" i="21"/>
  <c r="M31" i="24"/>
  <c r="M33" i="24" s="1"/>
  <c r="M35" i="24" s="1"/>
  <c r="M37" i="21"/>
  <c r="I31" i="24"/>
  <c r="I33" i="24" s="1"/>
  <c r="I35" i="24" s="1"/>
  <c r="I37" i="21"/>
  <c r="L31" i="24"/>
  <c r="L33" i="24" s="1"/>
  <c r="L35" i="24" s="1"/>
  <c r="L37" i="21"/>
  <c r="G31" i="24"/>
  <c r="G33" i="24" s="1"/>
  <c r="G35" i="24" s="1"/>
  <c r="G37" i="21"/>
  <c r="C31" i="24"/>
  <c r="C33" i="24" s="1"/>
  <c r="C35" i="24" s="1"/>
  <c r="C37" i="21"/>
  <c r="B31" i="24"/>
  <c r="B37" i="21"/>
  <c r="E31" i="24"/>
  <c r="E33" i="24" s="1"/>
  <c r="E35" i="24" s="1"/>
  <c r="E37" i="21"/>
  <c r="C28" i="22"/>
  <c r="C26" i="23"/>
  <c r="E58" i="2"/>
  <c r="D31" i="24"/>
  <c r="D33" i="24" s="1"/>
  <c r="D35" i="24" s="1"/>
  <c r="D37" i="21"/>
  <c r="H31" i="24"/>
  <c r="H33" i="24" s="1"/>
  <c r="H35" i="24" s="1"/>
  <c r="H37" i="21"/>
  <c r="J31" i="24"/>
  <c r="J33" i="24" s="1"/>
  <c r="J35" i="24" s="1"/>
  <c r="J37" i="21"/>
  <c r="C27" i="23" l="1"/>
  <c r="F59" i="2"/>
  <c r="N37" i="21"/>
  <c r="B37" i="26"/>
  <c r="C31" i="22"/>
  <c r="N31" i="24"/>
  <c r="B33" i="24"/>
  <c r="D59" i="2" l="1"/>
  <c r="C28" i="25"/>
  <c r="C29" i="25" s="1"/>
  <c r="C31" i="25" s="1"/>
  <c r="C33" i="22"/>
  <c r="B35" i="24"/>
  <c r="N33" i="24"/>
  <c r="B38" i="26"/>
  <c r="B40" i="26" s="1"/>
  <c r="C37" i="26"/>
  <c r="N35" i="24" l="1"/>
  <c r="B37" i="24"/>
  <c r="C37" i="24" s="1"/>
  <c r="D37" i="24" s="1"/>
  <c r="E37" i="24" s="1"/>
  <c r="F37" i="24" s="1"/>
  <c r="G37" i="24" s="1"/>
  <c r="H37" i="24" s="1"/>
  <c r="I37" i="24" s="1"/>
  <c r="J37" i="24" s="1"/>
  <c r="K37" i="24" s="1"/>
  <c r="L37" i="24" s="1"/>
  <c r="M37" i="24" s="1"/>
  <c r="N37" i="24" s="1"/>
  <c r="B9" i="26"/>
  <c r="B12" i="26" s="1"/>
  <c r="B20" i="26" s="1"/>
  <c r="C7" i="24"/>
  <c r="D37" i="26"/>
  <c r="C38" i="26"/>
  <c r="C40" i="26" s="1"/>
  <c r="D28" i="22"/>
  <c r="E59" i="2"/>
  <c r="D26" i="23"/>
  <c r="D38" i="26" l="1"/>
  <c r="D40" i="26" s="1"/>
  <c r="E37" i="26"/>
  <c r="D27" i="23"/>
  <c r="F60" i="2"/>
  <c r="D7" i="24"/>
  <c r="C9" i="26"/>
  <c r="C12" i="26" s="1"/>
  <c r="C20" i="26" s="1"/>
  <c r="D31" i="22"/>
  <c r="D33" i="22" l="1"/>
  <c r="F37" i="26"/>
  <c r="E38" i="26"/>
  <c r="E40" i="26" s="1"/>
  <c r="E7" i="24"/>
  <c r="D9" i="26"/>
  <c r="D12" i="26" s="1"/>
  <c r="D20" i="26" s="1"/>
  <c r="D60" i="2"/>
  <c r="D28" i="25"/>
  <c r="D29" i="25" s="1"/>
  <c r="D31" i="25" s="1"/>
  <c r="E28" i="22" l="1"/>
  <c r="E26" i="23"/>
  <c r="E60" i="2"/>
  <c r="G37" i="26"/>
  <c r="F38" i="26"/>
  <c r="F40" i="26" s="1"/>
  <c r="F7" i="24"/>
  <c r="E9" i="26"/>
  <c r="E12" i="26" s="1"/>
  <c r="E20" i="26" s="1"/>
  <c r="F9" i="26" l="1"/>
  <c r="F12" i="26" s="1"/>
  <c r="F20" i="26" s="1"/>
  <c r="G7" i="24"/>
  <c r="H37" i="26"/>
  <c r="G38" i="26"/>
  <c r="G40" i="26" s="1"/>
  <c r="E27" i="23"/>
  <c r="F61" i="2"/>
  <c r="E31" i="22"/>
  <c r="E33" i="22" l="1"/>
  <c r="H38" i="26"/>
  <c r="H40" i="26" s="1"/>
  <c r="I37" i="26"/>
  <c r="D61" i="2"/>
  <c r="E28" i="25"/>
  <c r="E29" i="25" s="1"/>
  <c r="E31" i="25" s="1"/>
  <c r="G9" i="26"/>
  <c r="G12" i="26" s="1"/>
  <c r="G20" i="26" s="1"/>
  <c r="H7" i="24"/>
  <c r="J37" i="26" l="1"/>
  <c r="I38" i="26"/>
  <c r="I40" i="26" s="1"/>
  <c r="H9" i="26"/>
  <c r="H12" i="26" s="1"/>
  <c r="H20" i="26" s="1"/>
  <c r="I7" i="24"/>
  <c r="F28" i="22"/>
  <c r="F26" i="23"/>
  <c r="E61" i="2"/>
  <c r="J7" i="24" l="1"/>
  <c r="I9" i="26"/>
  <c r="I12" i="26" s="1"/>
  <c r="I20" i="26" s="1"/>
  <c r="F27" i="23"/>
  <c r="F62" i="2"/>
  <c r="F31" i="22"/>
  <c r="J38" i="26"/>
  <c r="J40" i="26" s="1"/>
  <c r="K37" i="26"/>
  <c r="L37" i="26" l="1"/>
  <c r="K38" i="26"/>
  <c r="K40" i="26" s="1"/>
  <c r="D62" i="2"/>
  <c r="F28" i="25"/>
  <c r="F29" i="25" s="1"/>
  <c r="F31" i="25" s="1"/>
  <c r="F33" i="22"/>
  <c r="K7" i="24"/>
  <c r="J9" i="26"/>
  <c r="J12" i="26" s="1"/>
  <c r="J20" i="26" s="1"/>
  <c r="L7" i="24" l="1"/>
  <c r="K9" i="26"/>
  <c r="K12" i="26" s="1"/>
  <c r="K20" i="26" s="1"/>
  <c r="G28" i="22"/>
  <c r="G31" i="22" s="1"/>
  <c r="G33" i="22" s="1"/>
  <c r="G26" i="23"/>
  <c r="E62" i="2"/>
  <c r="L38" i="26"/>
  <c r="L40" i="26" s="1"/>
  <c r="M37" i="26"/>
  <c r="G27" i="23" l="1"/>
  <c r="F63" i="2"/>
  <c r="M7" i="24"/>
  <c r="L9" i="26"/>
  <c r="L12" i="26" s="1"/>
  <c r="L20" i="26" s="1"/>
  <c r="M38" i="26"/>
  <c r="M40" i="26" s="1"/>
  <c r="M9" i="26" l="1"/>
  <c r="M12" i="26" s="1"/>
  <c r="M20" i="26" s="1"/>
  <c r="B7" i="23"/>
  <c r="N7" i="24"/>
  <c r="D63" i="2"/>
  <c r="G28" i="25"/>
  <c r="G29" i="25" s="1"/>
  <c r="G31" i="25" s="1"/>
  <c r="H28" i="22" l="1"/>
  <c r="H31" i="22" s="1"/>
  <c r="H33" i="22" s="1"/>
  <c r="E63" i="2"/>
  <c r="H26" i="23"/>
  <c r="H27" i="23" l="1"/>
  <c r="F64" i="2"/>
  <c r="D64" i="2" l="1"/>
  <c r="H28" i="25"/>
  <c r="H29" i="25" s="1"/>
  <c r="H31" i="25" s="1"/>
  <c r="I28" i="22" l="1"/>
  <c r="I31" i="22" s="1"/>
  <c r="I33" i="22" s="1"/>
  <c r="I26" i="23"/>
  <c r="E64" i="2"/>
  <c r="I27" i="23" l="1"/>
  <c r="F65" i="2"/>
  <c r="D65" i="2" l="1"/>
  <c r="I28" i="25"/>
  <c r="I29" i="25" s="1"/>
  <c r="I31" i="25" s="1"/>
  <c r="J28" i="22" l="1"/>
  <c r="J31" i="22" s="1"/>
  <c r="J33" i="22" s="1"/>
  <c r="J26" i="23"/>
  <c r="E65" i="2"/>
  <c r="J27" i="23" l="1"/>
  <c r="F66" i="2"/>
  <c r="D66" i="2" l="1"/>
  <c r="J28" i="25"/>
  <c r="J29" i="25" s="1"/>
  <c r="J31" i="25" s="1"/>
  <c r="K28" i="22" l="1"/>
  <c r="K31" i="22" s="1"/>
  <c r="K33" i="22" s="1"/>
  <c r="K26" i="23"/>
  <c r="E66" i="2"/>
  <c r="K27" i="23" l="1"/>
  <c r="F67" i="2"/>
  <c r="D67" i="2" l="1"/>
  <c r="K28" i="25"/>
  <c r="K29" i="25" s="1"/>
  <c r="K31" i="25" s="1"/>
  <c r="L28" i="22" l="1"/>
  <c r="L31" i="22" s="1"/>
  <c r="L33" i="22" s="1"/>
  <c r="E67" i="2"/>
  <c r="L26" i="23"/>
  <c r="L27" i="23" l="1"/>
  <c r="F68" i="2"/>
  <c r="D68" i="2" l="1"/>
  <c r="L28" i="25"/>
  <c r="L29" i="25" s="1"/>
  <c r="L31" i="25" s="1"/>
  <c r="M28" i="22" l="1"/>
  <c r="M26" i="23"/>
  <c r="N26" i="23" s="1"/>
  <c r="E68" i="2"/>
  <c r="M27" i="23" s="1"/>
  <c r="N27" i="23" s="1"/>
  <c r="M31" i="22" l="1"/>
  <c r="N28" i="22"/>
  <c r="M33" i="22" l="1"/>
  <c r="N31" i="22"/>
  <c r="N33" i="22" l="1"/>
  <c r="R10" i="19" l="1"/>
  <c r="N35" i="22"/>
  <c r="F25" i="15"/>
  <c r="E35" i="22" l="1"/>
  <c r="F35" i="22"/>
  <c r="K35" i="22"/>
  <c r="D35" i="22"/>
  <c r="M35" i="22"/>
  <c r="J35" i="22"/>
  <c r="H35" i="22"/>
  <c r="I35" i="22"/>
  <c r="C35" i="22"/>
  <c r="L35" i="22"/>
  <c r="B35" i="22"/>
  <c r="G35" i="22"/>
  <c r="G31" i="23" l="1"/>
  <c r="G33" i="23" s="1"/>
  <c r="G35" i="23" s="1"/>
  <c r="G37" i="22"/>
  <c r="I31" i="23"/>
  <c r="I33" i="23" s="1"/>
  <c r="I35" i="23" s="1"/>
  <c r="I37" i="22"/>
  <c r="D31" i="23"/>
  <c r="D33" i="23" s="1"/>
  <c r="D35" i="23" s="1"/>
  <c r="D37" i="22"/>
  <c r="B31" i="23"/>
  <c r="B37" i="22"/>
  <c r="H31" i="23"/>
  <c r="H33" i="23" s="1"/>
  <c r="H35" i="23" s="1"/>
  <c r="H37" i="22"/>
  <c r="K31" i="23"/>
  <c r="K33" i="23" s="1"/>
  <c r="K35" i="23" s="1"/>
  <c r="K37" i="22"/>
  <c r="L31" i="23"/>
  <c r="L33" i="23" s="1"/>
  <c r="L35" i="23" s="1"/>
  <c r="L37" i="22"/>
  <c r="J31" i="23"/>
  <c r="J33" i="23" s="1"/>
  <c r="J35" i="23" s="1"/>
  <c r="J37" i="22"/>
  <c r="F31" i="23"/>
  <c r="F33" i="23" s="1"/>
  <c r="F35" i="23" s="1"/>
  <c r="F37" i="22"/>
  <c r="C31" i="23"/>
  <c r="C33" i="23" s="1"/>
  <c r="C35" i="23" s="1"/>
  <c r="C37" i="22"/>
  <c r="M31" i="23"/>
  <c r="M33" i="23" s="1"/>
  <c r="M35" i="23" s="1"/>
  <c r="M37" i="22"/>
  <c r="E31" i="23"/>
  <c r="E33" i="23" s="1"/>
  <c r="E35" i="23" s="1"/>
  <c r="E37" i="22"/>
  <c r="N37" i="22" l="1"/>
  <c r="B37" i="25"/>
  <c r="N31" i="23"/>
  <c r="B33" i="23"/>
  <c r="B35" i="23" l="1"/>
  <c r="N33" i="23"/>
  <c r="B38" i="25"/>
  <c r="B40" i="25" s="1"/>
  <c r="C37" i="25"/>
  <c r="D37" i="25" l="1"/>
  <c r="C38" i="25"/>
  <c r="C40" i="25" s="1"/>
  <c r="N35" i="23"/>
  <c r="B37" i="23"/>
  <c r="C37" i="23" s="1"/>
  <c r="D37" i="23" s="1"/>
  <c r="E37" i="23" s="1"/>
  <c r="F37" i="23" s="1"/>
  <c r="G37" i="23" s="1"/>
  <c r="H37" i="23" s="1"/>
  <c r="I37" i="23" s="1"/>
  <c r="J37" i="23" s="1"/>
  <c r="K37" i="23" s="1"/>
  <c r="L37" i="23" s="1"/>
  <c r="M37" i="23" s="1"/>
  <c r="N37" i="23" s="1"/>
  <c r="C7" i="23"/>
  <c r="B9" i="25"/>
  <c r="B12" i="25" s="1"/>
  <c r="B20" i="25" s="1"/>
  <c r="C9" i="25" l="1"/>
  <c r="C12" i="25" s="1"/>
  <c r="C20" i="25" s="1"/>
  <c r="D7" i="23"/>
  <c r="E37" i="25"/>
  <c r="D38" i="25"/>
  <c r="D40" i="25" s="1"/>
  <c r="E38" i="25" l="1"/>
  <c r="E40" i="25" s="1"/>
  <c r="F37" i="25"/>
  <c r="D9" i="25"/>
  <c r="D12" i="25" s="1"/>
  <c r="D20" i="25" s="1"/>
  <c r="E7" i="23"/>
  <c r="G37" i="25" l="1"/>
  <c r="F38" i="25"/>
  <c r="F40" i="25" s="1"/>
  <c r="F7" i="23"/>
  <c r="E9" i="25"/>
  <c r="E12" i="25" s="1"/>
  <c r="E20" i="25" s="1"/>
  <c r="G7" i="23" l="1"/>
  <c r="F9" i="25"/>
  <c r="F12" i="25" s="1"/>
  <c r="F20" i="25" s="1"/>
  <c r="H37" i="25"/>
  <c r="G38" i="25"/>
  <c r="G40" i="25" s="1"/>
  <c r="I37" i="25" l="1"/>
  <c r="H38" i="25"/>
  <c r="H40" i="25" s="1"/>
  <c r="G9" i="25"/>
  <c r="G12" i="25" s="1"/>
  <c r="G20" i="25" s="1"/>
  <c r="H7" i="23"/>
  <c r="I7" i="23" l="1"/>
  <c r="H9" i="25"/>
  <c r="H12" i="25" s="1"/>
  <c r="H20" i="25" s="1"/>
  <c r="I38" i="25"/>
  <c r="I40" i="25" s="1"/>
  <c r="J37" i="25"/>
  <c r="J38" i="25" l="1"/>
  <c r="J40" i="25" s="1"/>
  <c r="K37" i="25"/>
  <c r="J7" i="23"/>
  <c r="I9" i="25"/>
  <c r="I12" i="25" s="1"/>
  <c r="I20" i="25" s="1"/>
  <c r="L37" i="25" l="1"/>
  <c r="K38" i="25"/>
  <c r="K40" i="25" s="1"/>
  <c r="K7" i="23"/>
  <c r="J9" i="25"/>
  <c r="J12" i="25" s="1"/>
  <c r="J20" i="25" s="1"/>
  <c r="L7" i="23" l="1"/>
  <c r="K9" i="25"/>
  <c r="K12" i="25" s="1"/>
  <c r="K20" i="25" s="1"/>
  <c r="L38" i="25"/>
  <c r="L40" i="25" s="1"/>
  <c r="M37" i="25"/>
  <c r="M38" i="25" s="1"/>
  <c r="M40" i="25" s="1"/>
  <c r="M7" i="23" l="1"/>
  <c r="L9" i="25"/>
  <c r="L12" i="25" s="1"/>
  <c r="L20" i="25" s="1"/>
  <c r="N7" i="23" l="1"/>
  <c r="M9" i="25"/>
  <c r="M12" i="25" s="1"/>
  <c r="M20" i="25" s="1"/>
</calcChain>
</file>

<file path=xl/comments1.xml><?xml version="1.0" encoding="utf-8"?>
<comments xmlns="http://schemas.openxmlformats.org/spreadsheetml/2006/main">
  <authors>
    <author>Adam Hoeksema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Adam Hoeksema:</t>
        </r>
        <r>
          <rPr>
            <sz val="9"/>
            <color indexed="81"/>
            <rFont val="Tahoma"/>
            <family val="2"/>
          </rPr>
          <t xml:space="preserve">
 (only show if they have a loan added)</t>
        </r>
      </text>
    </comment>
  </commentList>
</comments>
</file>

<file path=xl/sharedStrings.xml><?xml version="1.0" encoding="utf-8"?>
<sst xmlns="http://schemas.openxmlformats.org/spreadsheetml/2006/main" count="557" uniqueCount="172">
  <si>
    <t>Company Name</t>
  </si>
  <si>
    <t>What percentage of your monthly sales do you typically hold in inventory?</t>
  </si>
  <si>
    <t>What is the dollar value of the inventory you currently have on hand?</t>
  </si>
  <si>
    <t>Sources and Uses</t>
  </si>
  <si>
    <t>Source of Funds</t>
  </si>
  <si>
    <t>What is your current cash balance?</t>
  </si>
  <si>
    <t>Add: Current Loans</t>
  </si>
  <si>
    <t>Add: Proposed Loans</t>
  </si>
  <si>
    <t>Total Sources of Funds</t>
  </si>
  <si>
    <t>Fixed Assets</t>
  </si>
  <si>
    <t>Equipment</t>
  </si>
  <si>
    <t>Value</t>
  </si>
  <si>
    <t>Life Expectancy in Years</t>
  </si>
  <si>
    <t>Salvage Cost</t>
  </si>
  <si>
    <t>Month Purchased</t>
  </si>
  <si>
    <t>Month</t>
  </si>
  <si>
    <t>Owner Draw</t>
  </si>
  <si>
    <t>Operating Expenses</t>
  </si>
  <si>
    <t>Insurance</t>
  </si>
  <si>
    <t>Miscellaneous Expense %</t>
  </si>
  <si>
    <t>Income Tax %</t>
  </si>
  <si>
    <t>Accounts Payable Terms</t>
  </si>
  <si>
    <t>Monthly Labor Cost</t>
  </si>
  <si>
    <t>Monthly Total COGS</t>
  </si>
  <si>
    <t>Monthly Depreciation</t>
  </si>
  <si>
    <t>Product Sales</t>
  </si>
  <si>
    <t>Bank Loan</t>
  </si>
  <si>
    <t>Loan Amount</t>
  </si>
  <si>
    <t>Length of Loan in Months</t>
  </si>
  <si>
    <t>Interest Rate</t>
  </si>
  <si>
    <t>Month Payments Will Start On</t>
  </si>
  <si>
    <t>Payment Number</t>
  </si>
  <si>
    <t>Total Payment</t>
  </si>
  <si>
    <t>Interest Amount</t>
  </si>
  <si>
    <t>Principal Amount</t>
  </si>
  <si>
    <t>Loan Balance</t>
  </si>
  <si>
    <t>Startup Sources and Uses</t>
  </si>
  <si>
    <t>Useful Life</t>
  </si>
  <si>
    <t>Required Starting Cash Balance</t>
  </si>
  <si>
    <t>How much inventory will you start with?</t>
  </si>
  <si>
    <t>Other One Time Startup Costs</t>
  </si>
  <si>
    <t>Total Startup Costs</t>
  </si>
  <si>
    <t>Sources of Funding</t>
  </si>
  <si>
    <t>Personal Investment/Personal Savings</t>
  </si>
  <si>
    <t>Outside Investment</t>
  </si>
  <si>
    <t>Loans</t>
  </si>
  <si>
    <t>Uses of Funding</t>
  </si>
  <si>
    <t>Land</t>
  </si>
  <si>
    <t>Starting Inventory</t>
  </si>
  <si>
    <t>Pro Forma Income Statement</t>
  </si>
  <si>
    <t>Year 1</t>
  </si>
  <si>
    <t>Sales:</t>
  </si>
  <si>
    <t>Total Sales</t>
  </si>
  <si>
    <t>Cost of Goods Sold</t>
  </si>
  <si>
    <t>Gross Margin</t>
  </si>
  <si>
    <t>Percent</t>
  </si>
  <si>
    <t>Loan Interest Expense</t>
  </si>
  <si>
    <t>Miscellaneous Expense</t>
  </si>
  <si>
    <t>Depreciation Expense</t>
  </si>
  <si>
    <t>Total Operating Expenses</t>
  </si>
  <si>
    <t>Net Profit</t>
  </si>
  <si>
    <t>Income Tax</t>
  </si>
  <si>
    <t>Net Income</t>
  </si>
  <si>
    <t xml:space="preserve">, </t>
  </si>
  <si>
    <t>Year 2</t>
  </si>
  <si>
    <t>Year 3</t>
  </si>
  <si>
    <t>Cash Flow Statement</t>
  </si>
  <si>
    <t>Cash Balance</t>
  </si>
  <si>
    <t>Cash Receipts</t>
  </si>
  <si>
    <t>Total Cash Receipts</t>
  </si>
  <si>
    <t>Cash Disbursements</t>
  </si>
  <si>
    <t>Labor Costs</t>
  </si>
  <si>
    <t>Loan Principal Expense</t>
  </si>
  <si>
    <t>Capital Purchases</t>
  </si>
  <si>
    <t>Miscellaneous</t>
  </si>
  <si>
    <t>Change in Inventory</t>
  </si>
  <si>
    <t>Total Cash Disbursements</t>
  </si>
  <si>
    <t>Net Cash Flow</t>
  </si>
  <si>
    <t>Cumulative Cash Flow</t>
  </si>
  <si>
    <t>Balance Sheet</t>
  </si>
  <si>
    <t>Months</t>
  </si>
  <si>
    <t>Assets:</t>
  </si>
  <si>
    <t>Current Assets:</t>
  </si>
  <si>
    <t>Cash</t>
  </si>
  <si>
    <t>Accounts Receivable</t>
  </si>
  <si>
    <t>Inventory</t>
  </si>
  <si>
    <t>Total Current Assets</t>
  </si>
  <si>
    <t>Fixed Assets:</t>
  </si>
  <si>
    <t>Accumulated Depreciation</t>
  </si>
  <si>
    <t>Total Fixed Assets Net</t>
  </si>
  <si>
    <t>Total Assets</t>
  </si>
  <si>
    <t>Liabilities and Equity</t>
  </si>
  <si>
    <t>Current Liabilities:</t>
  </si>
  <si>
    <t>Accounts Payable</t>
  </si>
  <si>
    <t>Total Current Liabilities</t>
  </si>
  <si>
    <t>Long-Term Liabilities:</t>
  </si>
  <si>
    <t>Total Long-Term Liabilities</t>
  </si>
  <si>
    <t>Total Liabilities</t>
  </si>
  <si>
    <t>Shareholder's Equity:</t>
  </si>
  <si>
    <t>Paid in Capital</t>
  </si>
  <si>
    <t>Additional Equity Injections</t>
  </si>
  <si>
    <t>Retained Earnings</t>
  </si>
  <si>
    <t>Total Equity</t>
  </si>
  <si>
    <t>Total Liabilities and Equity</t>
  </si>
  <si>
    <t>Sales</t>
  </si>
  <si>
    <t>Revenue</t>
  </si>
  <si>
    <t>Gross Profit</t>
  </si>
  <si>
    <t>Key Ratios</t>
  </si>
  <si>
    <t>Profit and Loss at a Glance</t>
  </si>
  <si>
    <t>Gross Profit Margin</t>
  </si>
  <si>
    <t>Profit Margin</t>
  </si>
  <si>
    <t>Debt Service Coverage Ratio</t>
  </si>
  <si>
    <t>Sales Growth</t>
  </si>
  <si>
    <t>N/A</t>
  </si>
  <si>
    <t>EBITDA/Annual Debt Service</t>
  </si>
  <si>
    <t>Income Statement Report</t>
  </si>
  <si>
    <t>Balance Sheet Report</t>
  </si>
  <si>
    <t>Cash Flow Report</t>
  </si>
  <si>
    <t>Average Order $ Amount</t>
  </si>
  <si>
    <t># of Orders</t>
  </si>
  <si>
    <t>Year 4</t>
  </si>
  <si>
    <t>Year 5</t>
  </si>
  <si>
    <t>Revenue Projections</t>
  </si>
  <si>
    <t>% Growth Rate</t>
  </si>
  <si>
    <t>Other Assets</t>
  </si>
  <si>
    <t># of Trucks</t>
  </si>
  <si>
    <t>Loaded Miles per Week</t>
  </si>
  <si>
    <t>Fuel Cost</t>
  </si>
  <si>
    <t>Cost per Loaded Mile</t>
  </si>
  <si>
    <t>Revenue per Truck</t>
  </si>
  <si>
    <t>Loaded Miles per Month</t>
  </si>
  <si>
    <t>Revenue per Month</t>
  </si>
  <si>
    <t>MPG for Truck</t>
  </si>
  <si>
    <t>Diesel Price per Gallon</t>
  </si>
  <si>
    <t xml:space="preserve">Fuel Cost per Truck </t>
  </si>
  <si>
    <t>Total Fuel Cost</t>
  </si>
  <si>
    <t>Driver Cost</t>
  </si>
  <si>
    <t>Number of Drivers</t>
  </si>
  <si>
    <t>Total Driver Cost</t>
  </si>
  <si>
    <t>Pay per Loaded Mile</t>
  </si>
  <si>
    <t>Loaded Miles Driven per Driver</t>
  </si>
  <si>
    <t>Cost per Driver</t>
  </si>
  <si>
    <t>Trucks</t>
  </si>
  <si>
    <t>Trailers</t>
  </si>
  <si>
    <t>Toll Road Payment</t>
  </si>
  <si>
    <t>Permits, Licenses, and Fuel Tax</t>
  </si>
  <si>
    <t>Tractor Trailer Notes</t>
  </si>
  <si>
    <t>Insurance (Liability, Damage, and Cargo)</t>
  </si>
  <si>
    <t>Weight and Scale Fees</t>
  </si>
  <si>
    <t>Repair and Maintenance</t>
  </si>
  <si>
    <t>Professional Service Fees (CPA, Legal, etc)</t>
  </si>
  <si>
    <t>Reserve for Unforseen Expenses</t>
  </si>
  <si>
    <t>Tolls</t>
  </si>
  <si>
    <t>Permits, Licences, Fuel Tax</t>
  </si>
  <si>
    <t>Office, Admin, and Communication</t>
  </si>
  <si>
    <t>Professional Services</t>
  </si>
  <si>
    <t>Unforeseen Expense</t>
  </si>
  <si>
    <t>Salaries (Non Drivers)</t>
  </si>
  <si>
    <t>Fuel Costs</t>
  </si>
  <si>
    <t>Services</t>
  </si>
  <si>
    <t>Monthly Total Revenue</t>
  </si>
  <si>
    <t>Monthly Fuel Cost</t>
  </si>
  <si>
    <t>Haulage Services</t>
  </si>
  <si>
    <t>% Decline Rate</t>
  </si>
  <si>
    <t>% Growth Increase for Driver Pay</t>
  </si>
  <si>
    <t>Available Starting Cash Balance</t>
  </si>
  <si>
    <t xml:space="preserve"> Tractor Trailer Notes</t>
  </si>
  <si>
    <t>Tractor</t>
  </si>
  <si>
    <t>Trailer</t>
  </si>
  <si>
    <t>Example Trucking Company</t>
  </si>
  <si>
    <t>This template is brought to you by ProjectionHub - a web application that helps entrepreneurs create</t>
  </si>
  <si>
    <t>financial projections for business plans, investors and lenders.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</si>
</sst>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-;[Red]\(\$#,##0.00\)"/>
    <numFmt numFmtId="165" formatCode="#,##0_-;[Red]\(#,##0\)"/>
    <numFmt numFmtId="166" formatCode="\$#,##0_-;[Red]\(\$#,##0\)"/>
    <numFmt numFmtId="167" formatCode="_(&quot;$&quot;* #,##0_);_(&quot;$&quot;* \(#,##0\);_(&quot;$&quot;* &quot;-&quot;??_);_(@_)"/>
    <numFmt numFmtId="168" formatCode="0.0%"/>
    <numFmt numFmtId="169" formatCode="[$$-409]#,##0;[Red]\-[$$-409]#,##0"/>
    <numFmt numFmtId="170" formatCode="_(* #,##0_);_(* \(#,##0\);_(* &quot;-&quot;??_);_(@_)"/>
  </numFmts>
  <fonts count="17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</font>
    <font>
      <u/>
      <sz val="11"/>
      <color rgb="FF000000"/>
      <name val="Calibri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0" fontId="1" fillId="0" borderId="0" xfId="0" applyNumberFormat="1" applyFont="1"/>
    <xf numFmtId="166" fontId="0" fillId="0" borderId="4" xfId="0" applyNumberFormat="1" applyBorder="1"/>
    <xf numFmtId="0" fontId="0" fillId="0" borderId="4" xfId="0" applyBorder="1"/>
    <xf numFmtId="166" fontId="0" fillId="0" borderId="5" xfId="0" applyNumberFormat="1" applyBorder="1"/>
    <xf numFmtId="166" fontId="1" fillId="0" borderId="6" xfId="0" applyNumberFormat="1" applyFont="1" applyBorder="1"/>
    <xf numFmtId="0" fontId="2" fillId="0" borderId="0" xfId="0" applyFont="1"/>
    <xf numFmtId="0" fontId="0" fillId="2" borderId="0" xfId="0" applyFill="1"/>
    <xf numFmtId="1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5" fontId="0" fillId="3" borderId="0" xfId="0" applyNumberFormat="1" applyFill="1"/>
    <xf numFmtId="167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7" fontId="0" fillId="0" borderId="7" xfId="1" applyNumberFormat="1" applyFont="1" applyBorder="1"/>
    <xf numFmtId="167" fontId="0" fillId="0" borderId="8" xfId="1" applyNumberFormat="1" applyFont="1" applyBorder="1"/>
    <xf numFmtId="9" fontId="0" fillId="0" borderId="0" xfId="2" applyFont="1"/>
    <xf numFmtId="9" fontId="0" fillId="0" borderId="7" xfId="2" applyFont="1" applyBorder="1"/>
    <xf numFmtId="9" fontId="0" fillId="0" borderId="8" xfId="2" applyFont="1" applyBorder="1"/>
    <xf numFmtId="0" fontId="5" fillId="0" borderId="0" xfId="0" applyFont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4" fillId="0" borderId="12" xfId="0" applyFont="1" applyBorder="1"/>
    <xf numFmtId="0" fontId="4" fillId="0" borderId="0" xfId="0" applyFont="1" applyBorder="1"/>
    <xf numFmtId="0" fontId="5" fillId="0" borderId="12" xfId="0" applyFont="1" applyBorder="1"/>
    <xf numFmtId="0" fontId="5" fillId="0" borderId="0" xfId="0" applyFont="1" applyBorder="1"/>
    <xf numFmtId="9" fontId="0" fillId="0" borderId="0" xfId="2" applyFont="1" applyBorder="1"/>
    <xf numFmtId="9" fontId="0" fillId="0" borderId="13" xfId="2" applyFont="1" applyBorder="1"/>
    <xf numFmtId="0" fontId="5" fillId="0" borderId="14" xfId="0" applyFont="1" applyBorder="1"/>
    <xf numFmtId="2" fontId="0" fillId="0" borderId="15" xfId="0" applyNumberFormat="1" applyBorder="1"/>
    <xf numFmtId="167" fontId="0" fillId="0" borderId="0" xfId="1" applyNumberFormat="1" applyFont="1" applyBorder="1"/>
    <xf numFmtId="9" fontId="0" fillId="3" borderId="0" xfId="2" applyFont="1" applyFill="1"/>
    <xf numFmtId="0" fontId="4" fillId="0" borderId="0" xfId="0" applyFont="1" applyAlignment="1">
      <alignment horizontal="center"/>
    </xf>
    <xf numFmtId="0" fontId="0" fillId="0" borderId="16" xfId="0" applyBorder="1"/>
    <xf numFmtId="0" fontId="0" fillId="0" borderId="0" xfId="0" applyFill="1"/>
    <xf numFmtId="166" fontId="0" fillId="0" borderId="0" xfId="0" applyNumberFormat="1" applyFill="1"/>
    <xf numFmtId="166" fontId="1" fillId="0" borderId="0" xfId="0" applyNumberFormat="1" applyFont="1" applyFill="1"/>
    <xf numFmtId="44" fontId="0" fillId="0" borderId="0" xfId="1" applyFont="1"/>
    <xf numFmtId="44" fontId="0" fillId="3" borderId="0" xfId="1" applyFont="1" applyFill="1"/>
    <xf numFmtId="10" fontId="0" fillId="3" borderId="0" xfId="2" applyNumberFormat="1" applyFont="1" applyFill="1"/>
    <xf numFmtId="44" fontId="0" fillId="0" borderId="0" xfId="0" applyNumberFormat="1"/>
    <xf numFmtId="44" fontId="0" fillId="0" borderId="0" xfId="1" applyFont="1" applyFill="1"/>
    <xf numFmtId="167" fontId="0" fillId="0" borderId="1" xfId="1" applyNumberFormat="1" applyFont="1" applyBorder="1"/>
    <xf numFmtId="164" fontId="0" fillId="0" borderId="0" xfId="0" applyNumberFormat="1" applyFill="1"/>
    <xf numFmtId="0" fontId="0" fillId="4" borderId="0" xfId="0" applyFill="1"/>
    <xf numFmtId="169" fontId="0" fillId="0" borderId="0" xfId="0" applyNumberFormat="1"/>
    <xf numFmtId="0" fontId="0" fillId="3" borderId="0" xfId="0" applyFont="1" applyFill="1"/>
    <xf numFmtId="0" fontId="0" fillId="0" borderId="0" xfId="0" applyFont="1"/>
    <xf numFmtId="2" fontId="0" fillId="3" borderId="0" xfId="1" applyNumberFormat="1" applyFont="1" applyFill="1"/>
    <xf numFmtId="2" fontId="0" fillId="0" borderId="0" xfId="1" applyNumberFormat="1" applyFont="1" applyFill="1"/>
    <xf numFmtId="0" fontId="0" fillId="0" borderId="0" xfId="0" applyFont="1" applyFill="1"/>
    <xf numFmtId="1" fontId="0" fillId="3" borderId="0" xfId="2" applyNumberFormat="1" applyFont="1" applyFill="1"/>
    <xf numFmtId="170" fontId="0" fillId="0" borderId="0" xfId="8" applyNumberFormat="1" applyFont="1"/>
    <xf numFmtId="170" fontId="0" fillId="3" borderId="0" xfId="8" applyNumberFormat="1" applyFont="1" applyFill="1"/>
    <xf numFmtId="170" fontId="0" fillId="0" borderId="0" xfId="0" applyNumberFormat="1" applyFill="1"/>
    <xf numFmtId="1" fontId="0" fillId="0" borderId="0" xfId="2" applyNumberFormat="1" applyFont="1" applyFill="1"/>
    <xf numFmtId="168" fontId="0" fillId="3" borderId="0" xfId="2" applyNumberFormat="1" applyFont="1" applyFill="1"/>
    <xf numFmtId="0" fontId="0" fillId="0" borderId="17" xfId="0" applyBorder="1" applyAlignment="1">
      <alignment horizontal="left"/>
    </xf>
    <xf numFmtId="10" fontId="0" fillId="3" borderId="17" xfId="2" applyNumberFormat="1" applyFont="1" applyFill="1" applyBorder="1"/>
    <xf numFmtId="10" fontId="0" fillId="0" borderId="0" xfId="2" applyNumberFormat="1" applyFont="1" applyFill="1"/>
    <xf numFmtId="164" fontId="12" fillId="0" borderId="0" xfId="0" applyNumberFormat="1" applyFont="1"/>
    <xf numFmtId="0" fontId="0" fillId="0" borderId="0" xfId="0" applyAlignment="1">
      <alignment horizontal="left" indent="1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5" fillId="5" borderId="0" xfId="0" applyFont="1" applyFill="1" applyAlignment="1"/>
    <xf numFmtId="0" fontId="0" fillId="0" borderId="0" xfId="0" applyFont="1" applyAlignment="1"/>
    <xf numFmtId="0" fontId="16" fillId="0" borderId="0" xfId="0" applyFont="1" applyAlignment="1">
      <alignment horizontal="center"/>
    </xf>
  </cellXfs>
  <cellStyles count="12">
    <cellStyle name="Comma" xfId="8" builtinId="3"/>
    <cellStyle name="Currency" xfId="1" builtinId="4"/>
    <cellStyle name="Currency 2" xfId="4"/>
    <cellStyle name="Currency 3" xfId="6"/>
    <cellStyle name="Followed Hyperlink" xfId="9" builtinId="9" hidden="1"/>
    <cellStyle name="Followed Hyperlink" xfId="10" builtinId="9" hidden="1"/>
    <cellStyle name="Followed Hyperlink" xfId="11" builtinId="9" hidden="1"/>
    <cellStyle name="Normal" xfId="0" builtinId="0"/>
    <cellStyle name="Normal 2" xfId="3"/>
    <cellStyle name="Normal 3" xfId="7"/>
    <cellStyle name="Percent" xfId="2" builtinId="5"/>
    <cellStyle name="Percent 2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40800</c:v>
                </c:pt>
                <c:pt idx="1">
                  <c:v>40881.640799999986</c:v>
                </c:pt>
                <c:pt idx="2">
                  <c:v>40963.444963240785</c:v>
                </c:pt>
                <c:pt idx="3">
                  <c:v>41045.41281661221</c:v>
                </c:pt>
                <c:pt idx="4">
                  <c:v>41127.54468765825</c:v>
                </c:pt>
                <c:pt idx="5">
                  <c:v>41209.840904578239</c:v>
                </c:pt>
                <c:pt idx="6">
                  <c:v>41292.30179622829</c:v>
                </c:pt>
                <c:pt idx="7">
                  <c:v>41374.927692122539</c:v>
                </c:pt>
                <c:pt idx="8">
                  <c:v>41457.718922434462</c:v>
                </c:pt>
                <c:pt idx="9">
                  <c:v>41540.67581799825</c:v>
                </c:pt>
                <c:pt idx="10">
                  <c:v>41623.79871031006</c:v>
                </c:pt>
                <c:pt idx="11">
                  <c:v>41707.087931529379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210-B16A-3050604E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599440"/>
        <c:axId val="2084672224"/>
      </c:barChart>
      <c:catAx>
        <c:axId val="208459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84672224"/>
        <c:crosses val="autoZero"/>
        <c:auto val="1"/>
        <c:lblAlgn val="ctr"/>
        <c:lblOffset val="100"/>
        <c:noMultiLvlLbl val="0"/>
      </c:catAx>
      <c:valAx>
        <c:axId val="2084672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84672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Uses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StartupCosts!$A$16</c:f>
              <c:strCache>
                <c:ptCount val="1"/>
                <c:pt idx="0">
                  <c:v>Uses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717E-4D7A-9022-805987B604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StartupCosts!$A$17:$A$23</c:f>
              <c:strCache>
                <c:ptCount val="7"/>
                <c:pt idx="0">
                  <c:v>Land</c:v>
                </c:pt>
                <c:pt idx="1">
                  <c:v>Equipment</c:v>
                </c:pt>
                <c:pt idx="2">
                  <c:v>Trucks</c:v>
                </c:pt>
                <c:pt idx="3">
                  <c:v>Trailers</c:v>
                </c:pt>
                <c:pt idx="4">
                  <c:v>Required Starting Cash Balance</c:v>
                </c:pt>
                <c:pt idx="5">
                  <c:v>Starting Inventory</c:v>
                </c:pt>
                <c:pt idx="6">
                  <c:v>Other One Time Startup Costs</c:v>
                </c:pt>
              </c:strCache>
            </c:strRef>
          </c:cat>
          <c:val>
            <c:numRef>
              <c:f>StartupCosts!$B$17:$B$23</c:f>
              <c:numCache>
                <c:formatCode>\$#,##0.00_-;[Red]\(\$#,##0.00\)</c:formatCode>
                <c:ptCount val="7"/>
                <c:pt idx="0">
                  <c:v>350000</c:v>
                </c:pt>
                <c:pt idx="1">
                  <c:v>450000</c:v>
                </c:pt>
                <c:pt idx="2">
                  <c:v>300000</c:v>
                </c:pt>
                <c:pt idx="3">
                  <c:v>150000</c:v>
                </c:pt>
                <c:pt idx="4">
                  <c:v>50000</c:v>
                </c:pt>
                <c:pt idx="5">
                  <c:v>5000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E-4D7A-9022-805987B6040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Break-even Analysis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for Dashboard'!$A$101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cat>
            <c:numRef>
              <c:f>'Graphs for Dashboard'!$B$100:$AK$100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'Graphs for Dashboard'!$B$101:$AK$101</c:f>
              <c:numCache>
                <c:formatCode>General</c:formatCode>
                <c:ptCount val="36"/>
                <c:pt idx="0">
                  <c:v>-921.65830406022883</c:v>
                </c:pt>
                <c:pt idx="1">
                  <c:v>9182.0427763064199</c:v>
                </c:pt>
                <c:pt idx="2">
                  <c:v>9285.6104321603652</c:v>
                </c:pt>
                <c:pt idx="3">
                  <c:v>9389.0480300392028</c:v>
                </c:pt>
                <c:pt idx="4">
                  <c:v>9492.3589024984558</c:v>
                </c:pt>
                <c:pt idx="5">
                  <c:v>9595.5463483577132</c:v>
                </c:pt>
                <c:pt idx="6">
                  <c:v>9698.6136329431847</c:v>
                </c:pt>
                <c:pt idx="7">
                  <c:v>9801.5639883260283</c:v>
                </c:pt>
                <c:pt idx="8">
                  <c:v>9904.4006135570035</c:v>
                </c:pt>
                <c:pt idx="9">
                  <c:v>10007.126674897207</c:v>
                </c:pt>
                <c:pt idx="10">
                  <c:v>10109.745306044895</c:v>
                </c:pt>
                <c:pt idx="11">
                  <c:v>10212.259608358594</c:v>
                </c:pt>
                <c:pt idx="12">
                  <c:v>27.13377699681314</c:v>
                </c:pt>
                <c:pt idx="13">
                  <c:v>10129.327149505112</c:v>
                </c:pt>
                <c:pt idx="14">
                  <c:v>10231.425183942119</c:v>
                </c:pt>
                <c:pt idx="15">
                  <c:v>10333.430854340626</c:v>
                </c:pt>
                <c:pt idx="16">
                  <c:v>10435.347103452095</c:v>
                </c:pt>
                <c:pt idx="17">
                  <c:v>10537.176842947196</c:v>
                </c:pt>
                <c:pt idx="18">
                  <c:v>10638.922953612557</c:v>
                </c:pt>
                <c:pt idx="19">
                  <c:v>10740.588285543909</c:v>
                </c:pt>
                <c:pt idx="20">
                  <c:v>10842.175658335527</c:v>
                </c:pt>
                <c:pt idx="21">
                  <c:v>10943.687861265986</c:v>
                </c:pt>
                <c:pt idx="22">
                  <c:v>11045.127653480387</c:v>
                </c:pt>
                <c:pt idx="23">
                  <c:v>11146.49776416886</c:v>
                </c:pt>
                <c:pt idx="24">
                  <c:v>961.0233600381905</c:v>
                </c:pt>
                <c:pt idx="25">
                  <c:v>11062.139262932165</c:v>
                </c:pt>
                <c:pt idx="26">
                  <c:v>11163.193370958736</c:v>
                </c:pt>
                <c:pt idx="27">
                  <c:v>11264.188295078669</c:v>
                </c:pt>
                <c:pt idx="28">
                  <c:v>11365.126617136479</c:v>
                </c:pt>
                <c:pt idx="29">
                  <c:v>11466.010890017571</c:v>
                </c:pt>
                <c:pt idx="30">
                  <c:v>11566.843637801765</c:v>
                </c:pt>
                <c:pt idx="31">
                  <c:v>11667.627355913337</c:v>
                </c:pt>
                <c:pt idx="32">
                  <c:v>11768.364511267639</c:v>
                </c:pt>
                <c:pt idx="33">
                  <c:v>11869.057542414046</c:v>
                </c:pt>
                <c:pt idx="34">
                  <c:v>11969.708859675608</c:v>
                </c:pt>
                <c:pt idx="35">
                  <c:v>12070.320845285083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693-B884-82C108FA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29008"/>
        <c:axId val="2081215376"/>
      </c:barChart>
      <c:catAx>
        <c:axId val="208132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81215376"/>
        <c:crosses val="autoZero"/>
        <c:auto val="1"/>
        <c:lblAlgn val="ctr"/>
        <c:lblOffset val="100"/>
        <c:noMultiLvlLbl val="0"/>
      </c:catAx>
      <c:valAx>
        <c:axId val="208121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2081215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CashFlowStatement_Year1!$C$35:$N$35</c:f>
              <c:numCache>
                <c:formatCode>\$#,##0_-;[Red]\(\$#,##0\)</c:formatCode>
                <c:ptCount val="12"/>
                <c:pt idx="0">
                  <c:v>-90456.022971671657</c:v>
                </c:pt>
                <c:pt idx="1">
                  <c:v>7016.7299529529337</c:v>
                </c:pt>
                <c:pt idx="2">
                  <c:v>7088.5841181291689</c:v>
                </c:pt>
                <c:pt idx="3">
                  <c:v>7160.0942929427038</c:v>
                </c:pt>
                <c:pt idx="4">
                  <c:v>7231.2624111834375</c:v>
                </c:pt>
                <c:pt idx="5">
                  <c:v>7302.0903633422786</c:v>
                </c:pt>
                <c:pt idx="6">
                  <c:v>7372.5799967927087</c:v>
                </c:pt>
                <c:pt idx="7">
                  <c:v>7442.7331159677415</c:v>
                </c:pt>
                <c:pt idx="8">
                  <c:v>7512.5514825327264</c:v>
                </c:pt>
                <c:pt idx="9">
                  <c:v>7582.0368155538163</c:v>
                </c:pt>
                <c:pt idx="10">
                  <c:v>7651.1907916620767</c:v>
                </c:pt>
                <c:pt idx="11">
                  <c:v>7720.0150452134258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6-43E8-8C34-38F44F9C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942176"/>
        <c:axId val="2058802448"/>
      </c:barChart>
      <c:catAx>
        <c:axId val="205894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58802448"/>
        <c:crosses val="autoZero"/>
        <c:auto val="1"/>
        <c:lblAlgn val="ctr"/>
        <c:lblOffset val="100"/>
        <c:noMultiLvlLbl val="0"/>
      </c:catAx>
      <c:valAx>
        <c:axId val="205880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58802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CashFlowStatement_Year2!$B$5:$M$5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CashFlowStatement_Year2!$B$35:$M$35</c:f>
              <c:numCache>
                <c:formatCode>\$#,##0_-;[Red]\(\$#,##0\)</c:formatCode>
                <c:ptCount val="12"/>
                <c:pt idx="0">
                  <c:v>-2438.303732405453</c:v>
                </c:pt>
                <c:pt idx="1">
                  <c:v>7569.0811135703916</c:v>
                </c:pt>
                <c:pt idx="2">
                  <c:v>7636.8040764742109</c:v>
                </c:pt>
                <c:pt idx="3">
                  <c:v>7704.2033130344498</c:v>
                </c:pt>
                <c:pt idx="4">
                  <c:v>7771.2802483602281</c:v>
                </c:pt>
                <c:pt idx="5">
                  <c:v>7838.0362661561376</c:v>
                </c:pt>
                <c:pt idx="6">
                  <c:v>7904.4727088527507</c:v>
                </c:pt>
                <c:pt idx="7">
                  <c:v>7970.590877732946</c:v>
                </c:pt>
                <c:pt idx="8">
                  <c:v>8036.3920330541441</c:v>
                </c:pt>
                <c:pt idx="9">
                  <c:v>8101.8773941663239</c:v>
                </c:pt>
                <c:pt idx="10">
                  <c:v>8167.0481396261021</c:v>
                </c:pt>
                <c:pt idx="11">
                  <c:v>8231.9054073065636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DC6-9783-AECD1D83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921920"/>
        <c:axId val="2083975760"/>
      </c:barChart>
      <c:catAx>
        <c:axId val="208392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83975760"/>
        <c:crosses val="autoZero"/>
        <c:auto val="1"/>
        <c:lblAlgn val="ctr"/>
        <c:lblOffset val="100"/>
        <c:noMultiLvlLbl val="0"/>
      </c:catAx>
      <c:valAx>
        <c:axId val="208397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8397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CashFlowStatement_Year3!$B$5:$M$5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CashFlowStatement_Year3!$B$35:$M$35</c:f>
              <c:numCache>
                <c:formatCode>\$#,##0_-;[Red]\(\$#,##0\)</c:formatCode>
                <c:ptCount val="12"/>
                <c:pt idx="0">
                  <c:v>-1928.8705561201059</c:v>
                </c:pt>
                <c:pt idx="1">
                  <c:v>8073.8448686496122</c:v>
                </c:pt>
                <c:pt idx="2">
                  <c:v>8137.6451501371339</c:v>
                </c:pt>
                <c:pt idx="3">
                  <c:v>8201.1359775826277</c:v>
                </c:pt>
                <c:pt idx="4">
                  <c:v>8264.3182868243093</c:v>
                </c:pt>
                <c:pt idx="5">
                  <c:v>8327.1929735906888</c:v>
                </c:pt>
                <c:pt idx="6">
                  <c:v>8389.7608935820681</c:v>
                </c:pt>
                <c:pt idx="7">
                  <c:v>8452.0228625480449</c:v>
                </c:pt>
                <c:pt idx="8">
                  <c:v>8513.9796563610362</c:v>
                </c:pt>
                <c:pt idx="9">
                  <c:v>8575.6320110856759</c:v>
                </c:pt>
                <c:pt idx="10">
                  <c:v>8636.9806230444665</c:v>
                </c:pt>
                <c:pt idx="11">
                  <c:v>8698.0261488791803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7-47CE-A649-A4277600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404896"/>
        <c:axId val="2083666032"/>
      </c:barChart>
      <c:catAx>
        <c:axId val="20844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83666032"/>
        <c:crosses val="autoZero"/>
        <c:auto val="1"/>
        <c:lblAlgn val="ctr"/>
        <c:lblOffset val="100"/>
        <c:noMultiLvlLbl val="0"/>
      </c:catAx>
      <c:valAx>
        <c:axId val="2083666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83666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495024.39504271251</c:v>
                </c:pt>
                <c:pt idx="1">
                  <c:v>507042.61446738016</c:v>
                </c:pt>
                <c:pt idx="2">
                  <c:v>519352.61263989541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1-4725-A34A-DB8320E3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656560"/>
        <c:axId val="2084524208"/>
      </c:barChart>
      <c:catAx>
        <c:axId val="20986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84524208"/>
        <c:crosses val="autoZero"/>
        <c:auto val="1"/>
        <c:lblAlgn val="ctr"/>
        <c:lblOffset val="100"/>
        <c:noMultiLvlLbl val="0"/>
      </c:catAx>
      <c:valAx>
        <c:axId val="2084524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2084524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CashFlowStatement_Year1!$C$35:$N$35</c:f>
              <c:numCache>
                <c:formatCode>\$#,##0_-;[Red]\(\$#,##0\)</c:formatCode>
                <c:ptCount val="12"/>
                <c:pt idx="0">
                  <c:v>-90456.022971671657</c:v>
                </c:pt>
                <c:pt idx="1">
                  <c:v>7016.7299529529337</c:v>
                </c:pt>
                <c:pt idx="2">
                  <c:v>7088.5841181291689</c:v>
                </c:pt>
                <c:pt idx="3">
                  <c:v>7160.0942929427038</c:v>
                </c:pt>
                <c:pt idx="4">
                  <c:v>7231.2624111834375</c:v>
                </c:pt>
                <c:pt idx="5">
                  <c:v>7302.0903633422786</c:v>
                </c:pt>
                <c:pt idx="6">
                  <c:v>7372.5799967927087</c:v>
                </c:pt>
                <c:pt idx="7">
                  <c:v>7442.7331159677415</c:v>
                </c:pt>
                <c:pt idx="8">
                  <c:v>7512.5514825327264</c:v>
                </c:pt>
                <c:pt idx="9">
                  <c:v>7582.0368155538163</c:v>
                </c:pt>
                <c:pt idx="10">
                  <c:v>7651.1907916620767</c:v>
                </c:pt>
                <c:pt idx="11">
                  <c:v>7720.0150452134258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7-41BE-9BD4-66BFDD68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493440"/>
        <c:axId val="2084409056"/>
      </c:barChart>
      <c:catAx>
        <c:axId val="20844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84409056"/>
        <c:crosses val="autoZero"/>
        <c:auto val="1"/>
        <c:lblAlgn val="ctr"/>
        <c:lblOffset val="100"/>
        <c:noMultiLvlLbl val="0"/>
      </c:catAx>
      <c:valAx>
        <c:axId val="208440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8440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40800</c:v>
                </c:pt>
                <c:pt idx="1">
                  <c:v>40881.640799999986</c:v>
                </c:pt>
                <c:pt idx="2">
                  <c:v>40963.444963240785</c:v>
                </c:pt>
                <c:pt idx="3">
                  <c:v>41045.41281661221</c:v>
                </c:pt>
                <c:pt idx="4">
                  <c:v>41127.54468765825</c:v>
                </c:pt>
                <c:pt idx="5">
                  <c:v>41209.840904578239</c:v>
                </c:pt>
                <c:pt idx="6">
                  <c:v>41292.30179622829</c:v>
                </c:pt>
                <c:pt idx="7">
                  <c:v>41374.927692122539</c:v>
                </c:pt>
                <c:pt idx="8">
                  <c:v>41457.718922434462</c:v>
                </c:pt>
                <c:pt idx="9">
                  <c:v>41540.67581799825</c:v>
                </c:pt>
                <c:pt idx="10">
                  <c:v>41623.79871031006</c:v>
                </c:pt>
                <c:pt idx="11">
                  <c:v>41707.087931529379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4FE-A18E-2644CE055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241072"/>
        <c:axId val="2061023600"/>
      </c:barChart>
      <c:catAx>
        <c:axId val="206124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61023600"/>
        <c:crosses val="autoZero"/>
        <c:auto val="1"/>
        <c:lblAlgn val="ctr"/>
        <c:lblOffset val="100"/>
        <c:noMultiLvlLbl val="0"/>
      </c:catAx>
      <c:valAx>
        <c:axId val="206102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61023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IncomeStatement_Year2!$B$5:$M$5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IncomeStatement_Year2!$B$8:$M$8</c:f>
              <c:numCache>
                <c:formatCode>\$#,##0_-;[Red]\(\$#,##0\)</c:formatCode>
                <c:ptCount val="12"/>
                <c:pt idx="0">
                  <c:v>41790.543814480363</c:v>
                </c:pt>
                <c:pt idx="1">
                  <c:v>41874.166692653132</c:v>
                </c:pt>
                <c:pt idx="2">
                  <c:v>41957.956900205121</c:v>
                </c:pt>
                <c:pt idx="3">
                  <c:v>42041.914771962423</c:v>
                </c:pt>
                <c:pt idx="4">
                  <c:v>42126.040643421104</c:v>
                </c:pt>
                <c:pt idx="5">
                  <c:v>42210.334850748579</c:v>
                </c:pt>
                <c:pt idx="6">
                  <c:v>42294.797730784914</c:v>
                </c:pt>
                <c:pt idx="7">
                  <c:v>42379.429621044204</c:v>
                </c:pt>
                <c:pt idx="8">
                  <c:v>42464.230859715914</c:v>
                </c:pt>
                <c:pt idx="9">
                  <c:v>42549.201785666191</c:v>
                </c:pt>
                <c:pt idx="10">
                  <c:v>42634.3427384393</c:v>
                </c:pt>
                <c:pt idx="11">
                  <c:v>42719.654058258908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F-4F0F-B6F0-F3DFF1D3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367408"/>
        <c:axId val="2084278608"/>
      </c:barChart>
      <c:catAx>
        <c:axId val="208436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084278608"/>
        <c:crosses val="autoZero"/>
        <c:auto val="1"/>
        <c:lblAlgn val="ctr"/>
        <c:lblOffset val="100"/>
        <c:noMultiLvlLbl val="0"/>
      </c:catAx>
      <c:valAx>
        <c:axId val="208427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2084278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IncomeStatement_Year3!$B$5:$M$5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IncomeStatement_Year3!$B$8:$M$8</c:f>
              <c:numCache>
                <c:formatCode>\$#,##0_-;[Red]\(\$#,##0\)</c:formatCode>
                <c:ptCount val="12"/>
                <c:pt idx="0">
                  <c:v>42805.136086029481</c:v>
                </c:pt>
                <c:pt idx="1">
                  <c:v>42890.78916333762</c:v>
                </c:pt>
                <c:pt idx="2">
                  <c:v>42976.613632453453</c:v>
                </c:pt>
                <c:pt idx="3">
                  <c:v>43062.609836331991</c:v>
                </c:pt>
                <c:pt idx="4">
                  <c:v>43148.778118614478</c:v>
                </c:pt>
                <c:pt idx="5">
                  <c:v>43235.118823629819</c:v>
                </c:pt>
                <c:pt idx="6">
                  <c:v>43321.632296395896</c:v>
                </c:pt>
                <c:pt idx="7">
                  <c:v>43408.318882620966</c:v>
                </c:pt>
                <c:pt idx="8">
                  <c:v>43495.178928705085</c:v>
                </c:pt>
                <c:pt idx="9">
                  <c:v>43582.212781741415</c:v>
                </c:pt>
                <c:pt idx="10">
                  <c:v>43669.420789517666</c:v>
                </c:pt>
                <c:pt idx="11">
                  <c:v>43756.80330051748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4-416A-B52E-8DFBF1065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738096"/>
        <c:axId val="1981381200"/>
      </c:barChart>
      <c:catAx>
        <c:axId val="198173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981381200"/>
        <c:crosses val="autoZero"/>
        <c:auto val="1"/>
        <c:lblAlgn val="ctr"/>
        <c:lblOffset val="100"/>
        <c:noMultiLvlLbl val="0"/>
      </c:catAx>
      <c:valAx>
        <c:axId val="198138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981381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495024.39504271251</c:v>
                </c:pt>
                <c:pt idx="1">
                  <c:v>507042.61446738016</c:v>
                </c:pt>
                <c:pt idx="2">
                  <c:v>519352.61263989541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ABD-ADFE-249D2CD8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814016"/>
        <c:axId val="2060594784"/>
      </c:barChart>
      <c:catAx>
        <c:axId val="20608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60594784"/>
        <c:crosses val="autoZero"/>
        <c:auto val="1"/>
        <c:lblAlgn val="ctr"/>
        <c:lblOffset val="100"/>
        <c:noMultiLvlLbl val="0"/>
      </c:catAx>
      <c:valAx>
        <c:axId val="2060594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2060594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_("$"* #,##0_);_("$"* \(#,##0\);_("$"* "-"??_);_(@_)</c:formatCode>
                <c:ptCount val="3"/>
                <c:pt idx="0">
                  <c:v>495024.39504271251</c:v>
                </c:pt>
                <c:pt idx="1">
                  <c:v>507042.61446738016</c:v>
                </c:pt>
                <c:pt idx="2">
                  <c:v>519352.61263989541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986-8714-1722E17B3132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_("$"* #,##0_);_("$"* \(#,##0\);_("$"* "-"??_);_(@_)</c:formatCode>
                <c:ptCount val="3"/>
                <c:pt idx="0">
                  <c:v>340512.62362449215</c:v>
                </c:pt>
                <c:pt idx="1">
                  <c:v>346897.63460263022</c:v>
                </c:pt>
                <c:pt idx="2">
                  <c:v>353404.35131521011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986-8714-1722E17B3132}"/>
            </c:ext>
          </c:extLst>
        </c:ser>
        <c:ser>
          <c:idx val="2"/>
          <c:order val="2"/>
          <c:tx>
            <c:strRef>
              <c:f>AnnualSummary!$A$25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AnnualSummary!$B$25:$D$25</c:f>
              <c:numCache>
                <c:formatCode>_("$"* #,##0_);_("$"* \(#,##0\);_("$"* "-"??_);_(@_)</c:formatCode>
                <c:ptCount val="3"/>
                <c:pt idx="0">
                  <c:v>124419.59765815159</c:v>
                </c:pt>
                <c:pt idx="1">
                  <c:v>137706.87186775432</c:v>
                </c:pt>
                <c:pt idx="2">
                  <c:v>150816.00535119916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2-4986-8714-1722E17B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670608"/>
        <c:axId val="1981439872"/>
      </c:barChart>
      <c:catAx>
        <c:axId val="19816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981439872"/>
        <c:crosses val="autoZero"/>
        <c:auto val="1"/>
        <c:lblAlgn val="ctr"/>
        <c:lblOffset val="100"/>
        <c:noMultiLvlLbl val="0"/>
      </c:catAx>
      <c:valAx>
        <c:axId val="198143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low"/>
        <c:spPr>
          <a:ln>
            <a:noFill/>
          </a:ln>
        </c:spPr>
        <c:crossAx val="1981439872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Sources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StartupCosts!$A$10</c:f>
              <c:strCache>
                <c:ptCount val="1"/>
                <c:pt idx="0">
                  <c:v>Sources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C094-47E6-8FF9-A87EA91C053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StartupCosts!$A$11:$A$13</c:f>
              <c:strCache>
                <c:ptCount val="3"/>
                <c:pt idx="0">
                  <c:v>Personal Investment/Personal Savings</c:v>
                </c:pt>
                <c:pt idx="1">
                  <c:v>Outside Investment</c:v>
                </c:pt>
                <c:pt idx="2">
                  <c:v>Loans</c:v>
                </c:pt>
              </c:strCache>
            </c:strRef>
          </c:cat>
          <c:val>
            <c:numRef>
              <c:f>StartupCosts!$B$11:$B$13</c:f>
              <c:numCache>
                <c:formatCode>\$#,##0.00_-;[Red]\(\$#,##0.00\)</c:formatCode>
                <c:ptCount val="3"/>
                <c:pt idx="0">
                  <c:v>152000</c:v>
                </c:pt>
                <c:pt idx="1">
                  <c:v>0</c:v>
                </c:pt>
                <c:pt idx="2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4-47E6-8FF9-A87EA91C05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180976</xdr:rowOff>
    </xdr:from>
    <xdr:to>
      <xdr:col>11</xdr:col>
      <xdr:colOff>19050</xdr:colOff>
      <xdr:row>14</xdr:row>
      <xdr:rowOff>180975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1524001"/>
          <a:ext cx="4886325" cy="1523999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21</xdr:col>
      <xdr:colOff>95250</xdr:colOff>
      <xdr:row>27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13</xdr:row>
      <xdr:rowOff>76200</xdr:rowOff>
    </xdr:from>
    <xdr:to>
      <xdr:col>11</xdr:col>
      <xdr:colOff>165100</xdr:colOff>
      <xdr:row>27</xdr:row>
      <xdr:rowOff>50800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21</xdr:col>
      <xdr:colOff>95250</xdr:colOff>
      <xdr:row>43</xdr:row>
      <xdr:rowOff>95250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14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95250</xdr:colOff>
      <xdr:row>14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95250</xdr:colOff>
      <xdr:row>14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95250</xdr:colOff>
      <xdr:row>29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14</xdr:col>
      <xdr:colOff>95250</xdr:colOff>
      <xdr:row>29</xdr:row>
      <xdr:rowOff>95250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95250</xdr:colOff>
      <xdr:row>44</xdr:row>
      <xdr:rowOff>95250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95250</xdr:colOff>
      <xdr:row>44</xdr:row>
      <xdr:rowOff>95250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95250</xdr:colOff>
      <xdr:row>59</xdr:row>
      <xdr:rowOff>95250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95250</xdr:colOff>
      <xdr:row>74</xdr:row>
      <xdr:rowOff>95250</xdr:rowOff>
    </xdr:to>
    <xdr:graphicFrame macro="">
      <xdr:nvGraphicFramePr>
        <xdr:cNvPr id="92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14</xdr:col>
      <xdr:colOff>95250</xdr:colOff>
      <xdr:row>74</xdr:row>
      <xdr:rowOff>95250</xdr:rowOff>
    </xdr:to>
    <xdr:graphicFrame macro="">
      <xdr:nvGraphicFramePr>
        <xdr:cNvPr id="1025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21</xdr:col>
      <xdr:colOff>95250</xdr:colOff>
      <xdr:row>74</xdr:row>
      <xdr:rowOff>95250</xdr:rowOff>
    </xdr:to>
    <xdr:graphicFrame macro="">
      <xdr:nvGraphicFramePr>
        <xdr:cNvPr id="112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73A2"/>
      </a:accent1>
      <a:accent2>
        <a:srgbClr val="ED3E11"/>
      </a:accent2>
      <a:accent3>
        <a:srgbClr val="ACC313"/>
      </a:accent3>
      <a:accent4>
        <a:srgbClr val="134561"/>
      </a:accent4>
      <a:accent5>
        <a:srgbClr val="79ABC7"/>
      </a:accent5>
      <a:accent6>
        <a:srgbClr val="D2E3E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B8" sqref="B8"/>
    </sheetView>
  </sheetViews>
  <sheetFormatPr defaultRowHeight="15" x14ac:dyDescent="0.25"/>
  <sheetData>
    <row r="2" spans="1:14" ht="21" customHeight="1" x14ac:dyDescent="0.35">
      <c r="A2" s="79" t="s">
        <v>170</v>
      </c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1" customHeight="1" x14ac:dyDescent="0.35">
      <c r="D3" s="81" t="s">
        <v>171</v>
      </c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 customHeight="1" x14ac:dyDescent="0.25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8.75" customHeight="1" x14ac:dyDescent="0.3">
      <c r="A5" s="83" t="str">
        <f>HYPERLINK("https://projectionhub.com/","Try ProjectionHub for Free at www.projectionhub.com ")</f>
        <v xml:space="preserve">Try ProjectionHub for Free at www.projectionhub.com 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x14ac:dyDescent="0.25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x14ac:dyDescent="0.25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x14ac:dyDescent="0.25"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x14ac:dyDescent="0.25"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x14ac:dyDescent="0.25"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x14ac:dyDescent="0.25"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x14ac:dyDescent="0.25"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x14ac:dyDescent="0.25"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x14ac:dyDescent="0.25"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x14ac:dyDescent="0.25"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</sheetData>
  <mergeCells count="1">
    <mergeCell ref="A5:N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16" sqref="A16"/>
    </sheetView>
  </sheetViews>
  <sheetFormatPr defaultColWidth="8.85546875" defaultRowHeight="15" x14ac:dyDescent="0.25"/>
  <cols>
    <col min="1" max="1" width="31.710937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49</v>
      </c>
    </row>
    <row r="3" spans="1:14" x14ac:dyDescent="0.25">
      <c r="A3" t="s">
        <v>121</v>
      </c>
    </row>
    <row r="5" spans="1:14" x14ac:dyDescent="0.25">
      <c r="A5" t="s">
        <v>15</v>
      </c>
      <c r="B5">
        <v>49</v>
      </c>
      <c r="C5">
        <v>50</v>
      </c>
      <c r="D5">
        <v>51</v>
      </c>
      <c r="E5">
        <v>52</v>
      </c>
      <c r="F5">
        <v>53</v>
      </c>
      <c r="G5">
        <v>54</v>
      </c>
      <c r="H5">
        <v>55</v>
      </c>
      <c r="I5">
        <v>56</v>
      </c>
      <c r="J5">
        <v>57</v>
      </c>
      <c r="K5">
        <v>58</v>
      </c>
      <c r="L5">
        <v>59</v>
      </c>
      <c r="M5">
        <v>60</v>
      </c>
      <c r="N5" s="4" t="s">
        <v>121</v>
      </c>
    </row>
    <row r="6" spans="1:14" x14ac:dyDescent="0.25">
      <c r="A6" s="4" t="s">
        <v>51</v>
      </c>
    </row>
    <row r="7" spans="1:14" x14ac:dyDescent="0.25">
      <c r="A7" t="str">
        <f>SUBSTITUTE(DATA!A26,"Days to Get Paid","",1)</f>
        <v>Sales</v>
      </c>
      <c r="B7" s="6">
        <f>DATA!AX67</f>
        <v>44908.815572144682</v>
      </c>
      <c r="C7" s="6">
        <f>DATA!AY67</f>
        <v>44998.678112104535</v>
      </c>
      <c r="D7" s="6">
        <f>DATA!AZ67</f>
        <v>45088.720467006846</v>
      </c>
      <c r="E7" s="6">
        <f>DATA!BA67</f>
        <v>45178.942996661317</v>
      </c>
      <c r="F7" s="6">
        <f>DATA!BB67</f>
        <v>45269.346061597629</v>
      </c>
      <c r="G7" s="6">
        <f>DATA!BC67</f>
        <v>45359.930023066874</v>
      </c>
      <c r="H7" s="6">
        <f>DATA!BD67</f>
        <v>45450.695243043017</v>
      </c>
      <c r="I7" s="6">
        <f>DATA!BE67</f>
        <v>45541.642084224339</v>
      </c>
      <c r="J7" s="6">
        <f>DATA!BF67</f>
        <v>45632.770910034866</v>
      </c>
      <c r="K7" s="6">
        <f>DATA!BG67</f>
        <v>45724.082084625836</v>
      </c>
      <c r="L7" s="6">
        <f>DATA!BH67</f>
        <v>45815.575972877159</v>
      </c>
      <c r="M7" s="6">
        <f>DATA!BI67</f>
        <v>45907.252940398881</v>
      </c>
      <c r="N7" s="7">
        <f>SUM(B7:M7)</f>
        <v>544876.45246778603</v>
      </c>
    </row>
    <row r="8" spans="1:14" x14ac:dyDescent="0.25">
      <c r="A8" s="4" t="s">
        <v>52</v>
      </c>
      <c r="B8" s="9">
        <f t="shared" ref="B8:M8" si="0">SUM(B7:B7)</f>
        <v>44908.815572144682</v>
      </c>
      <c r="C8" s="9">
        <f t="shared" si="0"/>
        <v>44998.678112104535</v>
      </c>
      <c r="D8" s="9">
        <f t="shared" si="0"/>
        <v>45088.720467006846</v>
      </c>
      <c r="E8" s="9">
        <f t="shared" si="0"/>
        <v>45178.942996661317</v>
      </c>
      <c r="F8" s="9">
        <f t="shared" si="0"/>
        <v>45269.346061597629</v>
      </c>
      <c r="G8" s="9">
        <f t="shared" si="0"/>
        <v>45359.930023066874</v>
      </c>
      <c r="H8" s="9">
        <f t="shared" si="0"/>
        <v>45450.695243043017</v>
      </c>
      <c r="I8" s="9">
        <f t="shared" si="0"/>
        <v>45541.642084224339</v>
      </c>
      <c r="J8" s="9">
        <f t="shared" si="0"/>
        <v>45632.770910034866</v>
      </c>
      <c r="K8" s="9">
        <f t="shared" si="0"/>
        <v>45724.082084625836</v>
      </c>
      <c r="L8" s="9">
        <f t="shared" si="0"/>
        <v>45815.575972877159</v>
      </c>
      <c r="M8" s="9">
        <f t="shared" si="0"/>
        <v>45907.252940398881</v>
      </c>
      <c r="N8" s="9">
        <f>SUM(B8:M8)</f>
        <v>544876.45246778603</v>
      </c>
    </row>
    <row r="10" spans="1:14" x14ac:dyDescent="0.25">
      <c r="A10" t="s">
        <v>127</v>
      </c>
      <c r="B10" s="6">
        <f>DATA!AX62</f>
        <v>8869.2975134068492</v>
      </c>
      <c r="C10" s="6">
        <f>DATA!AY62</f>
        <v>8895.9409186498251</v>
      </c>
      <c r="D10" s="6">
        <f>DATA!AZ62</f>
        <v>8922.6643607888291</v>
      </c>
      <c r="E10" s="6">
        <f>DATA!BA62</f>
        <v>8949.4680802550229</v>
      </c>
      <c r="F10" s="6">
        <f>DATA!BB62</f>
        <v>8976.3523182018125</v>
      </c>
      <c r="G10" s="6">
        <f>DATA!BC62</f>
        <v>9003.3173165070402</v>
      </c>
      <c r="H10" s="6">
        <f>DATA!BD62</f>
        <v>9030.3633177751435</v>
      </c>
      <c r="I10" s="6">
        <f>DATA!BE62</f>
        <v>9057.4905653393507</v>
      </c>
      <c r="J10" s="6">
        <f>DATA!BF62</f>
        <v>9084.6993032638566</v>
      </c>
      <c r="K10" s="6">
        <f>DATA!BG62</f>
        <v>9111.9897763460322</v>
      </c>
      <c r="L10" s="6">
        <f>DATA!BH62</f>
        <v>9139.3622301186169</v>
      </c>
      <c r="M10" s="6">
        <f>DATA!BI62</f>
        <v>9166.8169108519342</v>
      </c>
      <c r="N10" s="7">
        <f>SUM(B10:M10)</f>
        <v>108207.76261150431</v>
      </c>
    </row>
    <row r="11" spans="1:14" x14ac:dyDescent="0.25">
      <c r="A11" t="s">
        <v>136</v>
      </c>
      <c r="B11" s="6">
        <f>DATA!AX63</f>
        <v>5791.2831175216334</v>
      </c>
      <c r="C11" s="6">
        <f>DATA!AY63</f>
        <v>5797.0744006391551</v>
      </c>
      <c r="D11" s="6">
        <f>DATA!AZ63</f>
        <v>5802.871475039793</v>
      </c>
      <c r="E11" s="6">
        <f>DATA!BA63</f>
        <v>5808.6743465148329</v>
      </c>
      <c r="F11" s="6">
        <f>DATA!BB63</f>
        <v>5814.4830208613466</v>
      </c>
      <c r="G11" s="6">
        <f>DATA!BC63</f>
        <v>5820.2975038822069</v>
      </c>
      <c r="H11" s="6">
        <f>DATA!BD63</f>
        <v>5826.117801386089</v>
      </c>
      <c r="I11" s="6">
        <f>DATA!BE63</f>
        <v>5831.9439191874744</v>
      </c>
      <c r="J11" s="6">
        <f>DATA!BF63</f>
        <v>5837.7758631066617</v>
      </c>
      <c r="K11" s="6">
        <f>DATA!BG63</f>
        <v>5843.6136389697676</v>
      </c>
      <c r="L11" s="6">
        <f>DATA!BH63</f>
        <v>5849.4572526087368</v>
      </c>
      <c r="M11" s="6">
        <f>DATA!BI63</f>
        <v>5855.3067098613456</v>
      </c>
      <c r="N11" s="7">
        <f>SUM(B11:M11)</f>
        <v>69878.899049579049</v>
      </c>
    </row>
    <row r="12" spans="1:14" x14ac:dyDescent="0.25">
      <c r="A12" s="4" t="s">
        <v>53</v>
      </c>
      <c r="B12" s="9">
        <f t="shared" ref="B12:M12" si="1">SUM(B10:B11)</f>
        <v>14660.580630928482</v>
      </c>
      <c r="C12" s="9">
        <f t="shared" si="1"/>
        <v>14693.015319288981</v>
      </c>
      <c r="D12" s="9">
        <f t="shared" si="1"/>
        <v>14725.535835828621</v>
      </c>
      <c r="E12" s="9">
        <f t="shared" si="1"/>
        <v>14758.142426769857</v>
      </c>
      <c r="F12" s="9">
        <f t="shared" si="1"/>
        <v>14790.83533906316</v>
      </c>
      <c r="G12" s="9">
        <f t="shared" si="1"/>
        <v>14823.614820389248</v>
      </c>
      <c r="H12" s="9">
        <f t="shared" si="1"/>
        <v>14856.481119161232</v>
      </c>
      <c r="I12" s="9">
        <f t="shared" si="1"/>
        <v>14889.434484526824</v>
      </c>
      <c r="J12" s="9">
        <f t="shared" si="1"/>
        <v>14922.475166370517</v>
      </c>
      <c r="K12" s="9">
        <f t="shared" si="1"/>
        <v>14955.6034153158</v>
      </c>
      <c r="L12" s="9">
        <f t="shared" si="1"/>
        <v>14988.819482727355</v>
      </c>
      <c r="M12" s="9">
        <f t="shared" si="1"/>
        <v>15022.123620713279</v>
      </c>
      <c r="N12" s="9">
        <f>SUM(B12:M12)</f>
        <v>178086.66166108337</v>
      </c>
    </row>
    <row r="14" spans="1:14" x14ac:dyDescent="0.25">
      <c r="A14" s="4" t="s">
        <v>54</v>
      </c>
      <c r="B14" s="10">
        <f t="shared" ref="B14:M14" si="2">B8-B12</f>
        <v>30248.2349412162</v>
      </c>
      <c r="C14" s="10">
        <f t="shared" si="2"/>
        <v>30305.662792815554</v>
      </c>
      <c r="D14" s="10">
        <f t="shared" si="2"/>
        <v>30363.184631178225</v>
      </c>
      <c r="E14" s="10">
        <f t="shared" si="2"/>
        <v>30420.80056989146</v>
      </c>
      <c r="F14" s="10">
        <f t="shared" si="2"/>
        <v>30478.510722534469</v>
      </c>
      <c r="G14" s="10">
        <f t="shared" si="2"/>
        <v>30536.315202677626</v>
      </c>
      <c r="H14" s="10">
        <f t="shared" si="2"/>
        <v>30594.214123881786</v>
      </c>
      <c r="I14" s="10">
        <f t="shared" si="2"/>
        <v>30652.207599697515</v>
      </c>
      <c r="J14" s="10">
        <f t="shared" si="2"/>
        <v>30710.295743664348</v>
      </c>
      <c r="K14" s="10">
        <f t="shared" si="2"/>
        <v>30768.478669310036</v>
      </c>
      <c r="L14" s="10">
        <f t="shared" si="2"/>
        <v>30826.756490149804</v>
      </c>
      <c r="M14" s="10">
        <f t="shared" si="2"/>
        <v>30885.129319685602</v>
      </c>
      <c r="N14" s="10">
        <f>SUM(B14:M14)</f>
        <v>366789.79080670269</v>
      </c>
    </row>
    <row r="15" spans="1:14" x14ac:dyDescent="0.25">
      <c r="A15" t="s">
        <v>55</v>
      </c>
      <c r="B15" s="2">
        <f t="shared" ref="B15:N15" si="3">IF(B8=0,0,B14/B8)</f>
        <v>0.67354782253438206</v>
      </c>
      <c r="C15" s="2">
        <f t="shared" si="3"/>
        <v>0.67347895681103143</v>
      </c>
      <c r="D15" s="2">
        <f t="shared" si="3"/>
        <v>0.67340976449744538</v>
      </c>
      <c r="E15" s="2">
        <f t="shared" si="3"/>
        <v>0.67334024552410465</v>
      </c>
      <c r="F15" s="2">
        <f t="shared" si="3"/>
        <v>0.67327039982116399</v>
      </c>
      <c r="G15" s="2">
        <f t="shared" si="3"/>
        <v>0.67320022731845053</v>
      </c>
      <c r="H15" s="2">
        <f t="shared" si="3"/>
        <v>0.673129727945465</v>
      </c>
      <c r="I15" s="2">
        <f t="shared" si="3"/>
        <v>0.67305890163138105</v>
      </c>
      <c r="J15" s="2">
        <f t="shared" si="3"/>
        <v>0.6729877483050456</v>
      </c>
      <c r="K15" s="2">
        <f t="shared" si="3"/>
        <v>0.67291626789497783</v>
      </c>
      <c r="L15" s="2">
        <f t="shared" si="3"/>
        <v>0.67284446032937051</v>
      </c>
      <c r="M15" s="2">
        <f t="shared" si="3"/>
        <v>0.67277232553608868</v>
      </c>
      <c r="N15" s="11">
        <f t="shared" si="3"/>
        <v>0.67316139125756747</v>
      </c>
    </row>
    <row r="17" spans="1:14" x14ac:dyDescent="0.25">
      <c r="A17" s="4" t="s">
        <v>17</v>
      </c>
    </row>
    <row r="18" spans="1:14" x14ac:dyDescent="0.25">
      <c r="A18" t="str">
        <f>DATA!A43</f>
        <v>Salaries (Non Drivers)</v>
      </c>
      <c r="B18" s="6">
        <f>DATA!AX43</f>
        <v>0</v>
      </c>
      <c r="C18" s="6">
        <f>DATA!AY43</f>
        <v>0</v>
      </c>
      <c r="D18" s="6">
        <f>DATA!AZ43</f>
        <v>0</v>
      </c>
      <c r="E18" s="6">
        <f>DATA!BA43</f>
        <v>0</v>
      </c>
      <c r="F18" s="6">
        <f>DATA!BB43</f>
        <v>0</v>
      </c>
      <c r="G18" s="6">
        <f>DATA!BC43</f>
        <v>0</v>
      </c>
      <c r="H18" s="6">
        <f>DATA!BD43</f>
        <v>0</v>
      </c>
      <c r="I18" s="6">
        <f>DATA!BE43</f>
        <v>0</v>
      </c>
      <c r="J18" s="6">
        <f>DATA!BF43</f>
        <v>0</v>
      </c>
      <c r="K18" s="6">
        <f>DATA!BG43</f>
        <v>0</v>
      </c>
      <c r="L18" s="6">
        <f>DATA!BH43</f>
        <v>0</v>
      </c>
      <c r="M18" s="6">
        <f>DATA!BI43</f>
        <v>0</v>
      </c>
      <c r="N18" s="7">
        <f t="shared" ref="N18:N31" si="4">SUM(B18:M18)</f>
        <v>0</v>
      </c>
    </row>
    <row r="19" spans="1:14" x14ac:dyDescent="0.25">
      <c r="A19" t="str">
        <f>DATA!A44</f>
        <v>Insurance (Liability, Damage, and Cargo)</v>
      </c>
      <c r="B19" s="6">
        <f>DATA!AX44</f>
        <v>1908.3524707230843</v>
      </c>
      <c r="C19" s="6">
        <f>DATA!AY44</f>
        <v>1889.2689460158533</v>
      </c>
      <c r="D19" s="6">
        <f>DATA!AZ44</f>
        <v>1870.3762565556947</v>
      </c>
      <c r="E19" s="6">
        <f>DATA!BA44</f>
        <v>1851.6724939901378</v>
      </c>
      <c r="F19" s="6">
        <f>DATA!BB44</f>
        <v>1833.1557690502364</v>
      </c>
      <c r="G19" s="6">
        <f>DATA!BC44</f>
        <v>1814.8242113597339</v>
      </c>
      <c r="H19" s="6">
        <f>DATA!BD44</f>
        <v>1796.6759692461364</v>
      </c>
      <c r="I19" s="6">
        <f>DATA!BE44</f>
        <v>1778.709209553675</v>
      </c>
      <c r="J19" s="6">
        <f>DATA!BF44</f>
        <v>1760.9221174581382</v>
      </c>
      <c r="K19" s="6">
        <f>DATA!BG44</f>
        <v>1743.3128962835569</v>
      </c>
      <c r="L19" s="6">
        <f>DATA!BH44</f>
        <v>1725.8797673207214</v>
      </c>
      <c r="M19" s="6">
        <f>DATA!BI44</f>
        <v>1708.6209696475141</v>
      </c>
      <c r="N19" s="7">
        <f t="shared" si="4"/>
        <v>21681.771077204485</v>
      </c>
    </row>
    <row r="20" spans="1:14" x14ac:dyDescent="0.25">
      <c r="A20" t="str">
        <f>DATA!A46</f>
        <v>Toll Road Payment</v>
      </c>
      <c r="B20" s="6">
        <f>DATA!AX46</f>
        <v>240</v>
      </c>
      <c r="C20" s="6">
        <f>DATA!AY46</f>
        <v>240</v>
      </c>
      <c r="D20" s="6">
        <f>DATA!AZ46</f>
        <v>240</v>
      </c>
      <c r="E20" s="6">
        <f>DATA!BA46</f>
        <v>240</v>
      </c>
      <c r="F20" s="6">
        <f>DATA!BB46</f>
        <v>240</v>
      </c>
      <c r="G20" s="6">
        <f>DATA!BC46</f>
        <v>240</v>
      </c>
      <c r="H20" s="6">
        <f>DATA!BD46</f>
        <v>240</v>
      </c>
      <c r="I20" s="6">
        <f>DATA!BE46</f>
        <v>240</v>
      </c>
      <c r="J20" s="6">
        <f>DATA!BF46</f>
        <v>240</v>
      </c>
      <c r="K20" s="6">
        <f>DATA!BG46</f>
        <v>240</v>
      </c>
      <c r="L20" s="6">
        <f>DATA!BH46</f>
        <v>240</v>
      </c>
      <c r="M20" s="6">
        <f>DATA!BI46</f>
        <v>240</v>
      </c>
      <c r="N20" s="7">
        <f t="shared" si="4"/>
        <v>2880</v>
      </c>
    </row>
    <row r="21" spans="1:14" x14ac:dyDescent="0.25">
      <c r="A21" t="str">
        <f>DATA!A47</f>
        <v>Weight and Scale Fees</v>
      </c>
      <c r="B21" s="6">
        <f>DATA!AX47</f>
        <v>200</v>
      </c>
      <c r="C21" s="6">
        <f>DATA!AY47</f>
        <v>200</v>
      </c>
      <c r="D21" s="6">
        <f>DATA!AZ47</f>
        <v>200</v>
      </c>
      <c r="E21" s="6">
        <f>DATA!BA47</f>
        <v>200</v>
      </c>
      <c r="F21" s="6">
        <f>DATA!BB47</f>
        <v>200</v>
      </c>
      <c r="G21" s="6">
        <f>DATA!BC47</f>
        <v>200</v>
      </c>
      <c r="H21" s="6">
        <f>DATA!BD47</f>
        <v>200</v>
      </c>
      <c r="I21" s="6">
        <f>DATA!BE47</f>
        <v>200</v>
      </c>
      <c r="J21" s="6">
        <f>DATA!BF47</f>
        <v>200</v>
      </c>
      <c r="K21" s="6">
        <f>DATA!BG47</f>
        <v>200</v>
      </c>
      <c r="L21" s="6">
        <f>DATA!BH47</f>
        <v>200</v>
      </c>
      <c r="M21" s="6">
        <f>DATA!BI47</f>
        <v>200</v>
      </c>
      <c r="N21" s="7">
        <f t="shared" si="4"/>
        <v>2400</v>
      </c>
    </row>
    <row r="22" spans="1:14" x14ac:dyDescent="0.25">
      <c r="A22" t="str">
        <f>DATA!A48</f>
        <v>Repair and Maintenance</v>
      </c>
      <c r="B22" s="6">
        <f>DATA!AX48</f>
        <v>2015.2825971030807</v>
      </c>
      <c r="C22" s="6">
        <f>DATA!AY48</f>
        <v>2035.4354230741114</v>
      </c>
      <c r="D22" s="6">
        <f>DATA!AZ48</f>
        <v>2055.7897773048526</v>
      </c>
      <c r="E22" s="6">
        <f>DATA!BA48</f>
        <v>2076.3476750779009</v>
      </c>
      <c r="F22" s="6">
        <f>DATA!BB48</f>
        <v>2097.1111518286798</v>
      </c>
      <c r="G22" s="6">
        <f>DATA!BC48</f>
        <v>2118.0822633469666</v>
      </c>
      <c r="H22" s="6">
        <f>DATA!BD48</f>
        <v>2139.2630859804362</v>
      </c>
      <c r="I22" s="6">
        <f>DATA!BE48</f>
        <v>2160.6557168402405</v>
      </c>
      <c r="J22" s="6">
        <f>DATA!BF48</f>
        <v>2182.2622740086431</v>
      </c>
      <c r="K22" s="6">
        <f>DATA!BG48</f>
        <v>2204.0848967487295</v>
      </c>
      <c r="L22" s="6">
        <f>DATA!BH48</f>
        <v>2226.1257457162169</v>
      </c>
      <c r="M22" s="6">
        <f>DATA!BI48</f>
        <v>2248.3870031733791</v>
      </c>
      <c r="N22" s="7">
        <f t="shared" si="4"/>
        <v>25558.82761020324</v>
      </c>
    </row>
    <row r="23" spans="1:14" x14ac:dyDescent="0.25">
      <c r="A23" t="str">
        <f>DATA!A50</f>
        <v>Tractor Trailer Notes</v>
      </c>
      <c r="B23" s="6">
        <f>DATA!AX50</f>
        <v>6939.91</v>
      </c>
      <c r="C23" s="6">
        <f>DATA!AY50</f>
        <v>6939.91</v>
      </c>
      <c r="D23" s="6">
        <f>DATA!AZ50</f>
        <v>6939.91</v>
      </c>
      <c r="E23" s="6">
        <f>DATA!BA50</f>
        <v>6939.91</v>
      </c>
      <c r="F23" s="6">
        <f>DATA!BB50</f>
        <v>6939.91</v>
      </c>
      <c r="G23" s="6">
        <f>DATA!BC50</f>
        <v>6939.91</v>
      </c>
      <c r="H23" s="6">
        <f>DATA!BD50</f>
        <v>6939.91</v>
      </c>
      <c r="I23" s="6">
        <f>DATA!BE50</f>
        <v>6939.91</v>
      </c>
      <c r="J23" s="6">
        <f>DATA!BF50</f>
        <v>6939.91</v>
      </c>
      <c r="K23" s="6">
        <f>DATA!BG50</f>
        <v>6939.91</v>
      </c>
      <c r="L23" s="6">
        <f>DATA!BH50</f>
        <v>6939.91</v>
      </c>
      <c r="M23" s="6">
        <f>DATA!BI50</f>
        <v>6939.91</v>
      </c>
      <c r="N23" s="7">
        <f t="shared" si="4"/>
        <v>83278.920000000027</v>
      </c>
    </row>
    <row r="24" spans="1:14" x14ac:dyDescent="0.25">
      <c r="A24" t="str">
        <f>DATA!A51</f>
        <v>Permits, Licenses, and Fuel Tax</v>
      </c>
      <c r="B24" s="6">
        <f>DATA!AX51</f>
        <v>100</v>
      </c>
      <c r="C24" s="6">
        <f>DATA!AY51</f>
        <v>100</v>
      </c>
      <c r="D24" s="6">
        <f>DATA!AZ51</f>
        <v>100</v>
      </c>
      <c r="E24" s="6">
        <f>DATA!BA51</f>
        <v>100</v>
      </c>
      <c r="F24" s="6">
        <f>DATA!BB51</f>
        <v>100</v>
      </c>
      <c r="G24" s="6">
        <f>DATA!BC51</f>
        <v>100</v>
      </c>
      <c r="H24" s="6">
        <f>DATA!BD51</f>
        <v>100</v>
      </c>
      <c r="I24" s="6">
        <f>DATA!BE51</f>
        <v>100</v>
      </c>
      <c r="J24" s="6">
        <f>DATA!BF51</f>
        <v>100</v>
      </c>
      <c r="K24" s="6">
        <f>DATA!BG51</f>
        <v>100</v>
      </c>
      <c r="L24" s="6">
        <f>DATA!BH51</f>
        <v>100</v>
      </c>
      <c r="M24" s="6">
        <f>DATA!BI51</f>
        <v>100</v>
      </c>
      <c r="N24" s="7">
        <f t="shared" si="4"/>
        <v>1200</v>
      </c>
    </row>
    <row r="25" spans="1:14" x14ac:dyDescent="0.25">
      <c r="A25" t="str">
        <f>DATA!A52</f>
        <v>Office, Admin, and Communication</v>
      </c>
      <c r="B25" s="6">
        <f>DATA!AX52</f>
        <v>416.67</v>
      </c>
      <c r="C25" s="6">
        <f>DATA!AY52</f>
        <v>416.67</v>
      </c>
      <c r="D25" s="6">
        <f>DATA!AZ52</f>
        <v>416.67</v>
      </c>
      <c r="E25" s="6">
        <f>DATA!BA52</f>
        <v>416.67</v>
      </c>
      <c r="F25" s="6">
        <f>DATA!BB52</f>
        <v>416.67</v>
      </c>
      <c r="G25" s="6">
        <f>DATA!BC52</f>
        <v>416.67</v>
      </c>
      <c r="H25" s="6">
        <f>DATA!BD52</f>
        <v>416.67</v>
      </c>
      <c r="I25" s="6">
        <f>DATA!BE52</f>
        <v>416.67</v>
      </c>
      <c r="J25" s="6">
        <f>DATA!BF52</f>
        <v>416.67</v>
      </c>
      <c r="K25" s="6">
        <f>DATA!BG52</f>
        <v>416.67</v>
      </c>
      <c r="L25" s="6">
        <f>DATA!BH52</f>
        <v>416.67</v>
      </c>
      <c r="M25" s="6">
        <f>DATA!BI52</f>
        <v>416.67</v>
      </c>
      <c r="N25" s="7">
        <f t="shared" si="4"/>
        <v>5000.04</v>
      </c>
    </row>
    <row r="26" spans="1:14" x14ac:dyDescent="0.25">
      <c r="A26" t="str">
        <f>DATA!A53</f>
        <v>Professional Service Fees (CPA, Legal, etc)</v>
      </c>
      <c r="B26" s="6">
        <f>DATA!AX53</f>
        <v>250</v>
      </c>
      <c r="C26" s="6">
        <f>DATA!AY53</f>
        <v>250</v>
      </c>
      <c r="D26" s="6">
        <f>DATA!AZ53</f>
        <v>250</v>
      </c>
      <c r="E26" s="6">
        <f>DATA!BA53</f>
        <v>250</v>
      </c>
      <c r="F26" s="6">
        <f>DATA!BB53</f>
        <v>250</v>
      </c>
      <c r="G26" s="6">
        <f>DATA!BC53</f>
        <v>250</v>
      </c>
      <c r="H26" s="6">
        <f>DATA!BD53</f>
        <v>250</v>
      </c>
      <c r="I26" s="6">
        <f>DATA!BE53</f>
        <v>250</v>
      </c>
      <c r="J26" s="6">
        <f>DATA!BF53</f>
        <v>250</v>
      </c>
      <c r="K26" s="6">
        <f>DATA!BG53</f>
        <v>250</v>
      </c>
      <c r="L26" s="6">
        <f>DATA!BH53</f>
        <v>250</v>
      </c>
      <c r="M26" s="6">
        <f>DATA!BI53</f>
        <v>250</v>
      </c>
      <c r="N26" s="7">
        <f t="shared" si="4"/>
        <v>3000</v>
      </c>
    </row>
    <row r="27" spans="1:14" x14ac:dyDescent="0.25">
      <c r="A27" t="str">
        <f>DATA!A54</f>
        <v>Reserve for Unforseen Expenses</v>
      </c>
      <c r="B27" s="6">
        <f>DATA!B54</f>
        <v>10000</v>
      </c>
      <c r="C27" s="6">
        <f>DATA!C54</f>
        <v>0</v>
      </c>
      <c r="D27" s="6">
        <f>DATA!D54</f>
        <v>0</v>
      </c>
      <c r="E27" s="6">
        <f>DATA!E54</f>
        <v>0</v>
      </c>
      <c r="F27" s="6">
        <f>DATA!F54</f>
        <v>0</v>
      </c>
      <c r="G27" s="6">
        <f>DATA!G54</f>
        <v>0</v>
      </c>
      <c r="H27" s="6">
        <f>DATA!H54</f>
        <v>0</v>
      </c>
      <c r="I27" s="6">
        <f>DATA!I54</f>
        <v>0</v>
      </c>
      <c r="J27" s="6">
        <f>DATA!J54</f>
        <v>0</v>
      </c>
      <c r="K27" s="6">
        <f>DATA!K54</f>
        <v>0</v>
      </c>
      <c r="L27" s="6">
        <f>DATA!L54</f>
        <v>0</v>
      </c>
      <c r="M27" s="6">
        <f>DATA!M54</f>
        <v>0</v>
      </c>
      <c r="N27" s="7">
        <f t="shared" si="4"/>
        <v>10000</v>
      </c>
    </row>
    <row r="28" spans="1:14" x14ac:dyDescent="0.25">
      <c r="A28" t="s">
        <v>56</v>
      </c>
      <c r="B28" s="6">
        <f>LoanModule!D57</f>
        <v>543.88367706360191</v>
      </c>
      <c r="C28" s="6">
        <f>LoanModule!D58</f>
        <v>500.19798157106067</v>
      </c>
      <c r="D28" s="6">
        <f>LoanModule!D59</f>
        <v>456.22104810856916</v>
      </c>
      <c r="E28" s="6">
        <f>LoanModule!D60</f>
        <v>411.95093508966102</v>
      </c>
      <c r="F28" s="6">
        <f>LoanModule!D61</f>
        <v>367.38568798396022</v>
      </c>
      <c r="G28" s="6">
        <f>LoanModule!D62</f>
        <v>322.52333923088798</v>
      </c>
      <c r="H28" s="6">
        <f>LoanModule!D63</f>
        <v>277.36190815279531</v>
      </c>
      <c r="I28" s="6">
        <f>LoanModule!D64</f>
        <v>231.89940086751537</v>
      </c>
      <c r="J28" s="6">
        <f>LoanModule!D65</f>
        <v>186.13381020033353</v>
      </c>
      <c r="K28" s="6">
        <f>LoanModule!D66</f>
        <v>140.06311559537053</v>
      </c>
      <c r="L28" s="6">
        <f>LoanModule!D67</f>
        <v>93.685283026374407</v>
      </c>
      <c r="M28" s="6">
        <f>LoanModule!D68</f>
        <v>46.998264906918315</v>
      </c>
      <c r="N28" s="7">
        <f t="shared" si="4"/>
        <v>3578.3044517970488</v>
      </c>
    </row>
    <row r="29" spans="1:14" x14ac:dyDescent="0.25">
      <c r="A29" t="s">
        <v>57</v>
      </c>
      <c r="B29" s="6">
        <f>DATA!$B$56*DATA!AX61</f>
        <v>0</v>
      </c>
      <c r="C29" s="6">
        <f>DATA!$B$56*DATA!AY61</f>
        <v>0</v>
      </c>
      <c r="D29" s="6">
        <f>DATA!$B$56*DATA!AZ61</f>
        <v>0</v>
      </c>
      <c r="E29" s="6">
        <f>DATA!$B$56*DATA!BA61</f>
        <v>0</v>
      </c>
      <c r="F29" s="6">
        <f>DATA!$B$56*DATA!BB61</f>
        <v>0</v>
      </c>
      <c r="G29" s="6">
        <f>DATA!$B$56*DATA!BC61</f>
        <v>0</v>
      </c>
      <c r="H29" s="6">
        <f>DATA!$B$56*DATA!BD61</f>
        <v>0</v>
      </c>
      <c r="I29" s="6">
        <f>DATA!$B$56*DATA!BE61</f>
        <v>0</v>
      </c>
      <c r="J29" s="6">
        <f>DATA!$B$56*DATA!BF61</f>
        <v>0</v>
      </c>
      <c r="K29" s="6">
        <f>DATA!$B$56*DATA!BG61</f>
        <v>0</v>
      </c>
      <c r="L29" s="6">
        <f>DATA!$B$56*DATA!BH61</f>
        <v>0</v>
      </c>
      <c r="M29" s="6">
        <f>DATA!$B$56*DATA!BI61</f>
        <v>0</v>
      </c>
      <c r="N29" s="7">
        <f t="shared" si="4"/>
        <v>0</v>
      </c>
    </row>
    <row r="30" spans="1:14" x14ac:dyDescent="0.25">
      <c r="A30" t="s">
        <v>58</v>
      </c>
      <c r="B30" s="6">
        <f>DATA!AX65</f>
        <v>2625</v>
      </c>
      <c r="C30" s="6">
        <f>DATA!AY65</f>
        <v>2625</v>
      </c>
      <c r="D30" s="6">
        <f>DATA!AZ65</f>
        <v>2625</v>
      </c>
      <c r="E30" s="6">
        <f>DATA!BA65</f>
        <v>2625</v>
      </c>
      <c r="F30" s="6">
        <f>DATA!BB65</f>
        <v>2625</v>
      </c>
      <c r="G30" s="6">
        <f>DATA!BC65</f>
        <v>2625</v>
      </c>
      <c r="H30" s="6">
        <f>DATA!BD65</f>
        <v>2625</v>
      </c>
      <c r="I30" s="6">
        <f>DATA!BE65</f>
        <v>2625</v>
      </c>
      <c r="J30" s="6">
        <f>DATA!BF65</f>
        <v>2625</v>
      </c>
      <c r="K30" s="6">
        <f>DATA!BG65</f>
        <v>2625</v>
      </c>
      <c r="L30" s="6">
        <f>DATA!BH65</f>
        <v>2625</v>
      </c>
      <c r="M30" s="6">
        <f>DATA!BI65</f>
        <v>2625</v>
      </c>
      <c r="N30" s="7">
        <f t="shared" si="4"/>
        <v>31500</v>
      </c>
    </row>
    <row r="31" spans="1:14" x14ac:dyDescent="0.25">
      <c r="A31" s="4" t="s">
        <v>59</v>
      </c>
      <c r="B31" s="8">
        <f t="shared" ref="B31:M31" si="5">SUM(B18:B30)</f>
        <v>25239.098744889769</v>
      </c>
      <c r="C31" s="8">
        <f t="shared" si="5"/>
        <v>15196.482350661025</v>
      </c>
      <c r="D31" s="8">
        <f t="shared" si="5"/>
        <v>15153.967081969116</v>
      </c>
      <c r="E31" s="8">
        <f t="shared" si="5"/>
        <v>15111.551104157699</v>
      </c>
      <c r="F31" s="8">
        <f t="shared" si="5"/>
        <v>15069.232608862876</v>
      </c>
      <c r="G31" s="8">
        <f t="shared" si="5"/>
        <v>15027.009813937588</v>
      </c>
      <c r="H31" s="8">
        <f t="shared" si="5"/>
        <v>14984.880963379368</v>
      </c>
      <c r="I31" s="8">
        <f t="shared" si="5"/>
        <v>14942.844327261429</v>
      </c>
      <c r="J31" s="8">
        <f t="shared" si="5"/>
        <v>14900.898201667114</v>
      </c>
      <c r="K31" s="8">
        <f t="shared" si="5"/>
        <v>14859.040908627658</v>
      </c>
      <c r="L31" s="8">
        <f t="shared" si="5"/>
        <v>14817.270796063312</v>
      </c>
      <c r="M31" s="8">
        <f t="shared" si="5"/>
        <v>14775.586237727812</v>
      </c>
      <c r="N31" s="8">
        <f t="shared" si="4"/>
        <v>190077.86313920477</v>
      </c>
    </row>
    <row r="33" spans="1:14" x14ac:dyDescent="0.25">
      <c r="A33" s="4" t="s">
        <v>60</v>
      </c>
      <c r="B33" s="10">
        <f t="shared" ref="B33:M33" si="6">B14-B31</f>
        <v>5009.1361963264317</v>
      </c>
      <c r="C33" s="10">
        <f t="shared" si="6"/>
        <v>15109.180442154529</v>
      </c>
      <c r="D33" s="10">
        <f t="shared" si="6"/>
        <v>15209.217549209108</v>
      </c>
      <c r="E33" s="10">
        <f t="shared" si="6"/>
        <v>15309.249465733761</v>
      </c>
      <c r="F33" s="10">
        <f t="shared" si="6"/>
        <v>15409.278113671593</v>
      </c>
      <c r="G33" s="10">
        <f t="shared" si="6"/>
        <v>15509.305388740038</v>
      </c>
      <c r="H33" s="10">
        <f t="shared" si="6"/>
        <v>15609.333160502418</v>
      </c>
      <c r="I33" s="10">
        <f t="shared" si="6"/>
        <v>15709.363272436085</v>
      </c>
      <c r="J33" s="10">
        <f t="shared" si="6"/>
        <v>15809.397541997234</v>
      </c>
      <c r="K33" s="10">
        <f t="shared" si="6"/>
        <v>15909.437760682378</v>
      </c>
      <c r="L33" s="10">
        <f t="shared" si="6"/>
        <v>16009.485694086492</v>
      </c>
      <c r="M33" s="10">
        <f t="shared" si="6"/>
        <v>16109.54308195779</v>
      </c>
      <c r="N33" s="10">
        <f>SUM(B33:M33)</f>
        <v>176711.92766749783</v>
      </c>
    </row>
    <row r="35" spans="1:14" x14ac:dyDescent="0.25">
      <c r="A35" t="s">
        <v>61</v>
      </c>
      <c r="B35" s="6">
        <f>N35/12</f>
        <v>2208.899095843723</v>
      </c>
      <c r="C35" s="6">
        <f>N35/12</f>
        <v>2208.899095843723</v>
      </c>
      <c r="D35" s="6">
        <f>N35/12</f>
        <v>2208.899095843723</v>
      </c>
      <c r="E35" s="6">
        <f>N35/12</f>
        <v>2208.899095843723</v>
      </c>
      <c r="F35" s="6">
        <f>N35/12</f>
        <v>2208.899095843723</v>
      </c>
      <c r="G35" s="6">
        <f>N35/12</f>
        <v>2208.899095843723</v>
      </c>
      <c r="H35" s="6">
        <f>N35/12</f>
        <v>2208.899095843723</v>
      </c>
      <c r="I35" s="6">
        <f>N35/12</f>
        <v>2208.899095843723</v>
      </c>
      <c r="J35" s="6">
        <f>N35/12</f>
        <v>2208.899095843723</v>
      </c>
      <c r="K35" s="6">
        <f>N35/12</f>
        <v>2208.899095843723</v>
      </c>
      <c r="L35" s="6">
        <f>N35/12</f>
        <v>2208.899095843723</v>
      </c>
      <c r="M35" s="6">
        <f>N35/12</f>
        <v>2208.899095843723</v>
      </c>
      <c r="N35" s="7">
        <f>IF(N33&lt;=0,0,N33*DATA!B57)</f>
        <v>26506.789150124674</v>
      </c>
    </row>
    <row r="37" spans="1:14" x14ac:dyDescent="0.25">
      <c r="A37" s="4" t="s">
        <v>62</v>
      </c>
      <c r="B37" s="9">
        <f t="shared" ref="B37:M37" si="7">B33-B35</f>
        <v>2800.2371004827087</v>
      </c>
      <c r="C37" s="9">
        <f t="shared" si="7"/>
        <v>12900.281346310807</v>
      </c>
      <c r="D37" s="9">
        <f t="shared" si="7"/>
        <v>13000.318453365386</v>
      </c>
      <c r="E37" s="9">
        <f t="shared" si="7"/>
        <v>13100.350369890039</v>
      </c>
      <c r="F37" s="9">
        <f t="shared" si="7"/>
        <v>13200.37901782787</v>
      </c>
      <c r="G37" s="9">
        <f t="shared" si="7"/>
        <v>13300.406292896316</v>
      </c>
      <c r="H37" s="9">
        <f t="shared" si="7"/>
        <v>13400.434064658695</v>
      </c>
      <c r="I37" s="9">
        <f t="shared" si="7"/>
        <v>13500.464176592362</v>
      </c>
      <c r="J37" s="9">
        <f t="shared" si="7"/>
        <v>13600.498446153511</v>
      </c>
      <c r="K37" s="9">
        <f t="shared" si="7"/>
        <v>13700.538664838656</v>
      </c>
      <c r="L37" s="9">
        <f t="shared" si="7"/>
        <v>13800.586598242769</v>
      </c>
      <c r="M37" s="9">
        <f t="shared" si="7"/>
        <v>13900.643986114068</v>
      </c>
      <c r="N37" s="9">
        <f>SUM(B37:M37)</f>
        <v>150205.13851737318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ColWidth="8.85546875" defaultRowHeight="15" x14ac:dyDescent="0.25"/>
  <cols>
    <col min="1" max="1" width="29.42578125" bestFit="1" customWidth="1"/>
    <col min="2" max="14" width="11.7109375" bestFit="1" customWidth="1"/>
    <col min="15" max="15" width="10.85546875" bestFit="1" customWidth="1"/>
  </cols>
  <sheetData>
    <row r="1" spans="1:15" x14ac:dyDescent="0.25">
      <c r="A1" t="str">
        <f>DATA!B1</f>
        <v>Example Trucking Company</v>
      </c>
    </row>
    <row r="2" spans="1:15" x14ac:dyDescent="0.25">
      <c r="A2" t="s">
        <v>66</v>
      </c>
    </row>
    <row r="3" spans="1:15" x14ac:dyDescent="0.25">
      <c r="A3" t="s">
        <v>50</v>
      </c>
    </row>
    <row r="5" spans="1:15" x14ac:dyDescent="0.25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s="4" t="s">
        <v>50</v>
      </c>
    </row>
    <row r="7" spans="1:15" x14ac:dyDescent="0.25">
      <c r="A7" s="4" t="s">
        <v>67</v>
      </c>
      <c r="B7" s="6">
        <f>0</f>
        <v>0</v>
      </c>
      <c r="C7" s="6">
        <f>StartupCosts!B2</f>
        <v>50000</v>
      </c>
      <c r="D7" s="6">
        <f t="shared" ref="D7:N7" si="0">C7+C35</f>
        <v>-40456.022971671657</v>
      </c>
      <c r="E7" s="6">
        <f t="shared" si="0"/>
        <v>-33439.293018718723</v>
      </c>
      <c r="F7" s="6">
        <f t="shared" si="0"/>
        <v>-26350.708900589554</v>
      </c>
      <c r="G7" s="6">
        <f t="shared" si="0"/>
        <v>-19190.61460764685</v>
      </c>
      <c r="H7" s="6">
        <f t="shared" si="0"/>
        <v>-11959.352196463413</v>
      </c>
      <c r="I7" s="6">
        <f t="shared" si="0"/>
        <v>-4657.2618331211343</v>
      </c>
      <c r="J7" s="6">
        <f t="shared" si="0"/>
        <v>2715.3181636715744</v>
      </c>
      <c r="K7" s="6">
        <f t="shared" si="0"/>
        <v>10158.051279639316</v>
      </c>
      <c r="L7" s="6">
        <f t="shared" si="0"/>
        <v>17670.602762172042</v>
      </c>
      <c r="M7" s="6">
        <f t="shared" si="0"/>
        <v>25252.639577725859</v>
      </c>
      <c r="N7" s="6">
        <f t="shared" si="0"/>
        <v>32903.830369387935</v>
      </c>
      <c r="O7" s="7">
        <f>N7</f>
        <v>32903.830369387935</v>
      </c>
    </row>
    <row r="9" spans="1:15" x14ac:dyDescent="0.25">
      <c r="A9" s="4" t="s">
        <v>68</v>
      </c>
    </row>
    <row r="10" spans="1:15" x14ac:dyDescent="0.25">
      <c r="A10" t="s">
        <v>25</v>
      </c>
      <c r="B10" s="6">
        <v>0</v>
      </c>
      <c r="C10" s="6">
        <f>DATA!B67</f>
        <v>40800</v>
      </c>
      <c r="D10" s="6">
        <f>DATA!C67</f>
        <v>40881.640799999986</v>
      </c>
      <c r="E10" s="6">
        <f>DATA!D67</f>
        <v>40963.444963240785</v>
      </c>
      <c r="F10" s="6">
        <f>DATA!E67</f>
        <v>41045.41281661221</v>
      </c>
      <c r="G10" s="6">
        <f>DATA!F67</f>
        <v>41127.54468765825</v>
      </c>
      <c r="H10" s="6">
        <f>DATA!G67</f>
        <v>41209.840904578239</v>
      </c>
      <c r="I10" s="6">
        <f>DATA!H67</f>
        <v>41292.30179622829</v>
      </c>
      <c r="J10" s="6">
        <f>DATA!I67</f>
        <v>41374.927692122539</v>
      </c>
      <c r="K10" s="6">
        <f>DATA!J67</f>
        <v>41457.718922434462</v>
      </c>
      <c r="L10" s="6">
        <f>DATA!K67</f>
        <v>41540.67581799825</v>
      </c>
      <c r="M10" s="6">
        <f>DATA!L67</f>
        <v>41623.79871031006</v>
      </c>
      <c r="N10" s="6">
        <f>DATA!M67</f>
        <v>41707.087931529379</v>
      </c>
      <c r="O10" s="7">
        <f>SUM(B10:N10)</f>
        <v>495024.39504271251</v>
      </c>
    </row>
    <row r="11" spans="1:15" x14ac:dyDescent="0.25">
      <c r="A11" t="s">
        <v>45</v>
      </c>
      <c r="B11" s="6">
        <f>0</f>
        <v>0</v>
      </c>
      <c r="C11" s="57">
        <f>IF(B5+1=LoanModule!$C$5,LoanModule!$C$2,0)</f>
        <v>350000</v>
      </c>
      <c r="D11" s="57">
        <f>IF(C5+1=LoanModule!$C$5,LoanModule!$C$2,0)</f>
        <v>0</v>
      </c>
      <c r="E11" s="57">
        <f>IF(D5+1=LoanModule!$C$5,LoanModule!$C$2,0)</f>
        <v>0</v>
      </c>
      <c r="F11" s="57">
        <f>IF(E5+1=LoanModule!$C$5,LoanModule!$C$2,0)</f>
        <v>0</v>
      </c>
      <c r="G11" s="57">
        <f>IF(F5+1=LoanModule!$C$5,LoanModule!$C$2,0)</f>
        <v>0</v>
      </c>
      <c r="H11" s="57">
        <f>IF(G5+1=LoanModule!$C$5,LoanModule!$C$2,0)</f>
        <v>0</v>
      </c>
      <c r="I11" s="57">
        <f>IF(H5+1=LoanModule!$C$5,LoanModule!$C$2,0)</f>
        <v>0</v>
      </c>
      <c r="J11" s="57">
        <f>IF(I5+1=LoanModule!$C$5,LoanModule!$C$2,0)</f>
        <v>0</v>
      </c>
      <c r="K11" s="57">
        <f>IF(J5+1=LoanModule!$C$5,LoanModule!$C$2,0)</f>
        <v>0</v>
      </c>
      <c r="L11" s="57">
        <f>IF(K5+1=LoanModule!$C$5,LoanModule!$C$2,0)</f>
        <v>0</v>
      </c>
      <c r="M11" s="57">
        <f>IF(L5+1=LoanModule!$C$5,LoanModule!$C$2,0)</f>
        <v>0</v>
      </c>
      <c r="N11" s="57">
        <f>IF(M5+1=LoanModule!$C$5,LoanModule!$C$2,0)</f>
        <v>0</v>
      </c>
      <c r="O11" s="7">
        <f>SUM(B11:N11)</f>
        <v>350000</v>
      </c>
    </row>
    <row r="12" spans="1:15" x14ac:dyDescent="0.25">
      <c r="A12" s="4" t="s">
        <v>69</v>
      </c>
      <c r="B12" s="9">
        <f t="shared" ref="B12:N12" si="1">SUM(B10:B11)</f>
        <v>0</v>
      </c>
      <c r="C12" s="9">
        <f t="shared" si="1"/>
        <v>390800</v>
      </c>
      <c r="D12" s="9">
        <f t="shared" si="1"/>
        <v>40881.640799999986</v>
      </c>
      <c r="E12" s="9">
        <f t="shared" si="1"/>
        <v>40963.444963240785</v>
      </c>
      <c r="F12" s="9">
        <f t="shared" si="1"/>
        <v>41045.41281661221</v>
      </c>
      <c r="G12" s="9">
        <f t="shared" si="1"/>
        <v>41127.54468765825</v>
      </c>
      <c r="H12" s="9">
        <f t="shared" si="1"/>
        <v>41209.840904578239</v>
      </c>
      <c r="I12" s="9">
        <f t="shared" si="1"/>
        <v>41292.30179622829</v>
      </c>
      <c r="J12" s="9">
        <f t="shared" si="1"/>
        <v>41374.927692122539</v>
      </c>
      <c r="K12" s="9">
        <f t="shared" si="1"/>
        <v>41457.718922434462</v>
      </c>
      <c r="L12" s="9">
        <f t="shared" si="1"/>
        <v>41540.67581799825</v>
      </c>
      <c r="M12" s="9">
        <f t="shared" si="1"/>
        <v>41623.79871031006</v>
      </c>
      <c r="N12" s="9">
        <f t="shared" si="1"/>
        <v>41707.087931529379</v>
      </c>
      <c r="O12" s="9">
        <f>SUM(B12:N12)</f>
        <v>845024.39504271233</v>
      </c>
    </row>
    <row r="14" spans="1:15" x14ac:dyDescent="0.25">
      <c r="A14" s="4" t="s">
        <v>70</v>
      </c>
    </row>
    <row r="15" spans="1:15" x14ac:dyDescent="0.25">
      <c r="A15" t="s">
        <v>158</v>
      </c>
      <c r="B15" s="6">
        <v>0</v>
      </c>
      <c r="C15" s="6">
        <f>DATA!B62/2</f>
        <v>3840</v>
      </c>
      <c r="D15" s="6">
        <f>(DATA!B62/2)+(DATA!C62/2)</f>
        <v>7691.5353753753752</v>
      </c>
      <c r="E15" s="6">
        <f>(DATA!C62/2)+(DATA!D62/2)</f>
        <v>7714.6407784399398</v>
      </c>
      <c r="F15" s="6">
        <f>(DATA!D62/2)+(DATA!E62/2)</f>
        <v>7737.8155902278249</v>
      </c>
      <c r="G15" s="6">
        <f>(DATA!E62/2)+(DATA!F62/2)</f>
        <v>7761.0600192431111</v>
      </c>
      <c r="H15" s="6">
        <f>(DATA!F62/2)+(DATA!G62/2)</f>
        <v>7784.3742746162316</v>
      </c>
      <c r="I15" s="6">
        <f>(DATA!G62/2)+(DATA!H62/2)</f>
        <v>7807.7585661058429</v>
      </c>
      <c r="J15" s="6">
        <f>(DATA!H62/2)+(DATA!I62/2)</f>
        <v>7831.2131041007196</v>
      </c>
      <c r="K15" s="6">
        <f>(DATA!I62/2)+(DATA!J62/2)</f>
        <v>7854.7380996216434</v>
      </c>
      <c r="L15" s="6">
        <f>(DATA!J62/2)+(DATA!K62/2)</f>
        <v>7878.3337643233062</v>
      </c>
      <c r="M15" s="6">
        <f>(DATA!K62/2)+(DATA!L62/2)</f>
        <v>7902.0003104962125</v>
      </c>
      <c r="N15" s="6">
        <f>(DATA!L62/2)+(DATA!M62/2)</f>
        <v>7925.7379510685823</v>
      </c>
      <c r="O15" s="7">
        <f t="shared" ref="O15:O33" si="2">SUM(B15:N15)</f>
        <v>89729.207833618784</v>
      </c>
    </row>
    <row r="16" spans="1:15" x14ac:dyDescent="0.25">
      <c r="A16" t="s">
        <v>71</v>
      </c>
      <c r="B16" s="6">
        <v>0</v>
      </c>
      <c r="C16" s="6">
        <f>DATA!B63/2</f>
        <v>2520</v>
      </c>
      <c r="D16" s="6">
        <f>(DATA!B63/2)+(DATA!C63/2)</f>
        <v>5042.5199999999995</v>
      </c>
      <c r="E16" s="6">
        <f>(DATA!C63/2)+(DATA!D63/2)</f>
        <v>5047.5625199999986</v>
      </c>
      <c r="F16" s="6">
        <f>(DATA!D63/2)+(DATA!E63/2)</f>
        <v>5052.6100825199974</v>
      </c>
      <c r="G16" s="6">
        <f>(DATA!E63/2)+(DATA!F63/2)</f>
        <v>5057.6626926025174</v>
      </c>
      <c r="H16" s="6">
        <f>(DATA!F63/2)+(DATA!G63/2)</f>
        <v>5062.7203552951196</v>
      </c>
      <c r="I16" s="6">
        <f>(DATA!G63/2)+(DATA!H63/2)</f>
        <v>5067.7830756504136</v>
      </c>
      <c r="J16" s="6">
        <f>(DATA!H63/2)+(DATA!I63/2)</f>
        <v>5072.850858726064</v>
      </c>
      <c r="K16" s="6">
        <f>(DATA!I63/2)+(DATA!J63/2)</f>
        <v>5077.9237095847893</v>
      </c>
      <c r="L16" s="6">
        <f>(DATA!J63/2)+(DATA!K63/2)</f>
        <v>5083.0016332943733</v>
      </c>
      <c r="M16" s="6">
        <f>(DATA!K63/2)+(DATA!L63/2)</f>
        <v>5088.0846349276671</v>
      </c>
      <c r="N16" s="6">
        <f>(DATA!L63/2)+(DATA!M63/2)</f>
        <v>5093.1727195625945</v>
      </c>
      <c r="O16" s="7">
        <f t="shared" si="2"/>
        <v>58265.892282163535</v>
      </c>
    </row>
    <row r="17" spans="1:15" x14ac:dyDescent="0.25">
      <c r="A17" t="s">
        <v>18</v>
      </c>
      <c r="B17" s="6">
        <v>0</v>
      </c>
      <c r="C17" s="6">
        <f>DATA!B44/2</f>
        <v>1545.75</v>
      </c>
      <c r="D17" s="6">
        <f>(DATA!B44/2)+(DATA!C44/2)</f>
        <v>3076.0425</v>
      </c>
      <c r="E17" s="6">
        <f>(DATA!C44/2)+(DATA!D44/2)</f>
        <v>3045.2820750000001</v>
      </c>
      <c r="F17" s="6">
        <f>(DATA!D44/2)+(DATA!E44/2)</f>
        <v>3014.8292542500003</v>
      </c>
      <c r="G17" s="6">
        <f>(DATA!E44/2)+(DATA!F44/2)</f>
        <v>2984.6809617075</v>
      </c>
      <c r="H17" s="6">
        <f>(DATA!F44/2)+(DATA!G44/2)</f>
        <v>2954.8341520904251</v>
      </c>
      <c r="I17" s="6">
        <f>(DATA!G44/2)+(DATA!H44/2)</f>
        <v>2925.2858105695209</v>
      </c>
      <c r="J17" s="6">
        <f>(DATA!H44/2)+(DATA!I44/2)</f>
        <v>2896.0329524638255</v>
      </c>
      <c r="K17" s="6">
        <f>(DATA!I44/2)+(DATA!J44/2)</f>
        <v>2867.0726229391876</v>
      </c>
      <c r="L17" s="6">
        <f>(DATA!J44/2)+(DATA!K44/2)</f>
        <v>2838.4018967097954</v>
      </c>
      <c r="M17" s="6">
        <f>(DATA!K44/2)+(DATA!L44/2)</f>
        <v>2810.0178777426972</v>
      </c>
      <c r="N17" s="6">
        <f>(DATA!L44/2)+(DATA!M44/2)</f>
        <v>2781.9176989652706</v>
      </c>
      <c r="O17" s="7">
        <f t="shared" si="2"/>
        <v>33740.147802438216</v>
      </c>
    </row>
    <row r="18" spans="1:15" x14ac:dyDescent="0.25">
      <c r="A18" t="s">
        <v>152</v>
      </c>
      <c r="B18" s="6">
        <v>0</v>
      </c>
      <c r="C18" s="6">
        <f>DATA!B46/2</f>
        <v>120</v>
      </c>
      <c r="D18" s="6">
        <f>(DATA!B46/2)+(DATA!C46/2)</f>
        <v>240</v>
      </c>
      <c r="E18" s="6">
        <f>(DATA!C46/2)+(DATA!D46/2)</f>
        <v>240</v>
      </c>
      <c r="F18" s="6">
        <f>(DATA!D46/2)+(DATA!E46/2)</f>
        <v>240</v>
      </c>
      <c r="G18" s="6">
        <f>(DATA!E46/2)+(DATA!F46/2)</f>
        <v>240</v>
      </c>
      <c r="H18" s="6">
        <f>(DATA!F46/2)+(DATA!G46/2)</f>
        <v>240</v>
      </c>
      <c r="I18" s="6">
        <f>(DATA!G46/2)+(DATA!H46/2)</f>
        <v>240</v>
      </c>
      <c r="J18" s="6">
        <f>(DATA!H46/2)+(DATA!I46/2)</f>
        <v>240</v>
      </c>
      <c r="K18" s="6">
        <f>(DATA!I46/2)+(DATA!J46/2)</f>
        <v>240</v>
      </c>
      <c r="L18" s="6">
        <f>(DATA!J46/2)+(DATA!K46/2)</f>
        <v>240</v>
      </c>
      <c r="M18" s="6">
        <f>(DATA!K46/2)+(DATA!L46/2)</f>
        <v>240</v>
      </c>
      <c r="N18" s="6">
        <f>(DATA!L46/2)+(DATA!M46/2)</f>
        <v>240</v>
      </c>
      <c r="O18" s="7">
        <f t="shared" si="2"/>
        <v>2760</v>
      </c>
    </row>
    <row r="19" spans="1:15" x14ac:dyDescent="0.25">
      <c r="A19" t="s">
        <v>148</v>
      </c>
      <c r="B19" s="6">
        <v>0</v>
      </c>
      <c r="C19" s="6">
        <f>DATA!B47/2</f>
        <v>100</v>
      </c>
      <c r="D19" s="6">
        <f>(DATA!B47/2)+(DATA!C47/2)</f>
        <v>200</v>
      </c>
      <c r="E19" s="6">
        <f>(DATA!C47/2)+(DATA!D47/2)</f>
        <v>200</v>
      </c>
      <c r="F19" s="6">
        <f>(DATA!D47/2)+(DATA!E47/2)</f>
        <v>200</v>
      </c>
      <c r="G19" s="6">
        <f>(DATA!E47/2)+(DATA!F47/2)</f>
        <v>200</v>
      </c>
      <c r="H19" s="6">
        <f>(DATA!F47/2)+(DATA!G47/2)</f>
        <v>200</v>
      </c>
      <c r="I19" s="6">
        <f>(DATA!G47/2)+(DATA!H47/2)</f>
        <v>200</v>
      </c>
      <c r="J19" s="6">
        <f>(DATA!H47/2)+(DATA!I47/2)</f>
        <v>200</v>
      </c>
      <c r="K19" s="6">
        <f>(DATA!I47/2)+(DATA!J47/2)</f>
        <v>200</v>
      </c>
      <c r="L19" s="6">
        <f>(DATA!J47/2)+(DATA!K47/2)</f>
        <v>200</v>
      </c>
      <c r="M19" s="6">
        <f>(DATA!K47/2)+(DATA!L47/2)</f>
        <v>200</v>
      </c>
      <c r="N19" s="6">
        <f>(DATA!L47/2)+(DATA!M47/2)</f>
        <v>200</v>
      </c>
      <c r="O19" s="7">
        <f t="shared" si="2"/>
        <v>2300</v>
      </c>
    </row>
    <row r="20" spans="1:15" x14ac:dyDescent="0.25">
      <c r="A20" t="s">
        <v>149</v>
      </c>
      <c r="B20" s="6">
        <v>0</v>
      </c>
      <c r="C20" s="6">
        <f>DATA!B48/2</f>
        <v>625</v>
      </c>
      <c r="D20" s="6">
        <f>(DATA!B48/2)+(DATA!C48/2)</f>
        <v>1256.25</v>
      </c>
      <c r="E20" s="6">
        <f>(DATA!C48/2)+(DATA!D48/2)</f>
        <v>1268.8125</v>
      </c>
      <c r="F20" s="6">
        <f>(DATA!D48/2)+(DATA!E48/2)</f>
        <v>1281.5006250000001</v>
      </c>
      <c r="G20" s="6">
        <f>(DATA!E48/2)+(DATA!F48/2)</f>
        <v>1294.31563125</v>
      </c>
      <c r="H20" s="6">
        <f>(DATA!F48/2)+(DATA!G48/2)</f>
        <v>1307.2587875624999</v>
      </c>
      <c r="I20" s="6">
        <f>(DATA!G48/2)+(DATA!H48/2)</f>
        <v>1320.3313754381252</v>
      </c>
      <c r="J20" s="6">
        <f>(DATA!H48/2)+(DATA!I48/2)</f>
        <v>1333.5346891925064</v>
      </c>
      <c r="K20" s="6">
        <f>(DATA!I48/2)+(DATA!J48/2)</f>
        <v>1346.8700360844314</v>
      </c>
      <c r="L20" s="6">
        <f>(DATA!J48/2)+(DATA!K48/2)</f>
        <v>1360.3387364452758</v>
      </c>
      <c r="M20" s="6">
        <f>(DATA!K48/2)+(DATA!L48/2)</f>
        <v>1373.9421238097284</v>
      </c>
      <c r="N20" s="6">
        <f>(DATA!L48/2)+(DATA!M48/2)</f>
        <v>1387.6815450478257</v>
      </c>
      <c r="O20" s="7">
        <f t="shared" si="2"/>
        <v>15155.83604983039</v>
      </c>
    </row>
    <row r="21" spans="1:15" x14ac:dyDescent="0.25">
      <c r="A21" t="s">
        <v>146</v>
      </c>
      <c r="B21" s="6">
        <v>0</v>
      </c>
      <c r="C21" s="6">
        <f>DATA!B50/2</f>
        <v>3469.9549999999999</v>
      </c>
      <c r="D21" s="6">
        <f>(DATA!B50/2)+(DATA!C50/2)</f>
        <v>6939.91</v>
      </c>
      <c r="E21" s="6">
        <f>(DATA!C50/2)+(DATA!D50/2)</f>
        <v>6939.91</v>
      </c>
      <c r="F21" s="6">
        <f>(DATA!D50/2)+(DATA!E50/2)</f>
        <v>6939.91</v>
      </c>
      <c r="G21" s="6">
        <f>(DATA!E50/2)+(DATA!F50/2)</f>
        <v>6939.91</v>
      </c>
      <c r="H21" s="6">
        <f>(DATA!F50/2)+(DATA!G50/2)</f>
        <v>6939.91</v>
      </c>
      <c r="I21" s="6">
        <f>(DATA!G50/2)+(DATA!H50/2)</f>
        <v>6939.91</v>
      </c>
      <c r="J21" s="6">
        <f>(DATA!H50/2)+(DATA!I50/2)</f>
        <v>6939.91</v>
      </c>
      <c r="K21" s="6">
        <f>(DATA!I50/2)+(DATA!J50/2)</f>
        <v>6939.91</v>
      </c>
      <c r="L21" s="6">
        <f>(DATA!J50/2)+(DATA!K50/2)</f>
        <v>6939.91</v>
      </c>
      <c r="M21" s="6">
        <f>(DATA!K50/2)+(DATA!L50/2)</f>
        <v>6939.91</v>
      </c>
      <c r="N21" s="6">
        <f>(DATA!L50/2)+(DATA!M50/2)</f>
        <v>6939.91</v>
      </c>
      <c r="O21" s="7">
        <f t="shared" si="2"/>
        <v>79808.965000000026</v>
      </c>
    </row>
    <row r="22" spans="1:15" x14ac:dyDescent="0.25">
      <c r="A22" t="s">
        <v>153</v>
      </c>
      <c r="B22" s="6">
        <v>0</v>
      </c>
      <c r="C22" s="6">
        <f>DATA!B51/2</f>
        <v>50</v>
      </c>
      <c r="D22" s="6">
        <f>(DATA!B51/2)+(DATA!C51/2)</f>
        <v>100</v>
      </c>
      <c r="E22" s="6">
        <f>(DATA!C51/2)+(DATA!D51/2)</f>
        <v>100</v>
      </c>
      <c r="F22" s="6">
        <f>(DATA!D51/2)+(DATA!E51/2)</f>
        <v>100</v>
      </c>
      <c r="G22" s="6">
        <f>(DATA!E51/2)+(DATA!F51/2)</f>
        <v>100</v>
      </c>
      <c r="H22" s="6">
        <f>(DATA!F51/2)+(DATA!G51/2)</f>
        <v>100</v>
      </c>
      <c r="I22" s="6">
        <f>(DATA!G51/2)+(DATA!H51/2)</f>
        <v>100</v>
      </c>
      <c r="J22" s="6">
        <f>(DATA!H51/2)+(DATA!I51/2)</f>
        <v>100</v>
      </c>
      <c r="K22" s="6">
        <f>(DATA!I51/2)+(DATA!J51/2)</f>
        <v>100</v>
      </c>
      <c r="L22" s="6">
        <f>(DATA!J51/2)+(DATA!K51/2)</f>
        <v>100</v>
      </c>
      <c r="M22" s="6">
        <f>(DATA!K51/2)+(DATA!L51/2)</f>
        <v>100</v>
      </c>
      <c r="N22" s="6">
        <f>(DATA!L51/2)+(DATA!M51/2)</f>
        <v>100</v>
      </c>
      <c r="O22" s="7">
        <f t="shared" si="2"/>
        <v>1150</v>
      </c>
    </row>
    <row r="23" spans="1:15" x14ac:dyDescent="0.25">
      <c r="A23" s="46" t="s">
        <v>154</v>
      </c>
      <c r="B23" s="6">
        <v>0</v>
      </c>
      <c r="C23" s="6">
        <f>DATA!B52/2</f>
        <v>208.33500000000001</v>
      </c>
      <c r="D23" s="6">
        <f>(DATA!B52/2)+(DATA!C52/2)</f>
        <v>416.67</v>
      </c>
      <c r="E23" s="6">
        <f>(DATA!C52/2)+(DATA!D52/2)</f>
        <v>416.67</v>
      </c>
      <c r="F23" s="6">
        <f>(DATA!D52/2)+(DATA!E52/2)</f>
        <v>416.67</v>
      </c>
      <c r="G23" s="6">
        <f>(DATA!E52/2)+(DATA!F52/2)</f>
        <v>416.67</v>
      </c>
      <c r="H23" s="6">
        <f>(DATA!F52/2)+(DATA!G52/2)</f>
        <v>416.67</v>
      </c>
      <c r="I23" s="6">
        <f>(DATA!G52/2)+(DATA!H52/2)</f>
        <v>416.67</v>
      </c>
      <c r="J23" s="6">
        <f>(DATA!H52/2)+(DATA!I52/2)</f>
        <v>416.67</v>
      </c>
      <c r="K23" s="6">
        <f>(DATA!I52/2)+(DATA!J52/2)</f>
        <v>416.67</v>
      </c>
      <c r="L23" s="6">
        <f>(DATA!J52/2)+(DATA!K52/2)</f>
        <v>416.67</v>
      </c>
      <c r="M23" s="6">
        <f>(DATA!K52/2)+(DATA!L52/2)</f>
        <v>416.67</v>
      </c>
      <c r="N23" s="6">
        <f>(DATA!L52/2)+(DATA!M52/2)</f>
        <v>416.67</v>
      </c>
      <c r="O23" s="7">
        <f t="shared" si="2"/>
        <v>4791.7049999999999</v>
      </c>
    </row>
    <row r="24" spans="1:15" x14ac:dyDescent="0.25">
      <c r="A24" t="s">
        <v>155</v>
      </c>
      <c r="B24" s="6">
        <v>0</v>
      </c>
      <c r="C24" s="6">
        <f>DATA!B53/2</f>
        <v>125</v>
      </c>
      <c r="D24" s="6">
        <f>(DATA!B53/2)+(DATA!C53/2)</f>
        <v>250</v>
      </c>
      <c r="E24" s="6">
        <f>(DATA!C53/2)+(DATA!D53/2)</f>
        <v>250</v>
      </c>
      <c r="F24" s="6">
        <f>(DATA!D53/2)+(DATA!E53/2)</f>
        <v>250</v>
      </c>
      <c r="G24" s="6">
        <f>(DATA!E53/2)+(DATA!F53/2)</f>
        <v>250</v>
      </c>
      <c r="H24" s="6">
        <f>(DATA!F53/2)+(DATA!G53/2)</f>
        <v>250</v>
      </c>
      <c r="I24" s="6">
        <f>(DATA!G53/2)+(DATA!H53/2)</f>
        <v>250</v>
      </c>
      <c r="J24" s="6">
        <f>(DATA!H53/2)+(DATA!I53/2)</f>
        <v>250</v>
      </c>
      <c r="K24" s="6">
        <f>(DATA!I53/2)+(DATA!J53/2)</f>
        <v>250</v>
      </c>
      <c r="L24" s="6">
        <f>(DATA!J53/2)+(DATA!K53/2)</f>
        <v>250</v>
      </c>
      <c r="M24" s="6">
        <f>(DATA!K53/2)+(DATA!L53/2)</f>
        <v>250</v>
      </c>
      <c r="N24" s="6">
        <f>(DATA!L53/2)+(DATA!M53/2)</f>
        <v>250</v>
      </c>
      <c r="O24" s="7">
        <f t="shared" si="2"/>
        <v>2875</v>
      </c>
    </row>
    <row r="25" spans="1:15" x14ac:dyDescent="0.25">
      <c r="A25" t="s">
        <v>156</v>
      </c>
      <c r="B25" s="6">
        <v>0</v>
      </c>
      <c r="C25" s="6">
        <f>DATA!B54</f>
        <v>10000</v>
      </c>
      <c r="D25" s="6">
        <f>DATA!C54</f>
        <v>0</v>
      </c>
      <c r="E25" s="6">
        <f>DATA!D54</f>
        <v>0</v>
      </c>
      <c r="F25" s="6">
        <f>DATA!E54</f>
        <v>0</v>
      </c>
      <c r="G25" s="6">
        <f>DATA!F54</f>
        <v>0</v>
      </c>
      <c r="H25" s="6">
        <f>DATA!G54</f>
        <v>0</v>
      </c>
      <c r="I25" s="6">
        <f>DATA!H54</f>
        <v>0</v>
      </c>
      <c r="J25" s="6">
        <f>DATA!I54</f>
        <v>0</v>
      </c>
      <c r="K25" s="6">
        <f>DATA!J54</f>
        <v>0</v>
      </c>
      <c r="L25" s="6">
        <f>DATA!K54</f>
        <v>0</v>
      </c>
      <c r="M25" s="6">
        <f>DATA!L54</f>
        <v>0</v>
      </c>
      <c r="N25" s="6">
        <f>DATA!M54</f>
        <v>0</v>
      </c>
      <c r="O25" s="7">
        <f t="shared" si="2"/>
        <v>10000</v>
      </c>
    </row>
    <row r="26" spans="1:15" x14ac:dyDescent="0.25">
      <c r="A26" t="s">
        <v>56</v>
      </c>
      <c r="B26" s="6">
        <v>0</v>
      </c>
      <c r="C26" s="6">
        <f>LoanModule!D9</f>
        <v>2333.3333333333335</v>
      </c>
      <c r="D26" s="6">
        <f>LoanModule!D10</f>
        <v>2301.5773022159237</v>
      </c>
      <c r="E26" s="6">
        <f>LoanModule!D11</f>
        <v>2269.6095642243977</v>
      </c>
      <c r="F26" s="6">
        <f>LoanModule!D12</f>
        <v>2237.4287079795954</v>
      </c>
      <c r="G26" s="6">
        <f>LoanModule!D13</f>
        <v>2205.0333126931605</v>
      </c>
      <c r="H26" s="6">
        <f>LoanModule!D14</f>
        <v>2172.4219481048162</v>
      </c>
      <c r="I26" s="6">
        <f>LoanModule!D15</f>
        <v>2139.5931744192162</v>
      </c>
      <c r="J26" s="6">
        <f>LoanModule!D16</f>
        <v>2106.5455422423793</v>
      </c>
      <c r="K26" s="6">
        <f>LoanModule!D17</f>
        <v>2073.2775925176961</v>
      </c>
      <c r="L26" s="6">
        <f>LoanModule!D18</f>
        <v>2039.7878564615157</v>
      </c>
      <c r="M26" s="6">
        <f>LoanModule!D19</f>
        <v>2006.0748554982936</v>
      </c>
      <c r="N26" s="6">
        <f>LoanModule!D20</f>
        <v>1972.137101195317</v>
      </c>
      <c r="O26" s="7">
        <f t="shared" si="2"/>
        <v>25856.820290885647</v>
      </c>
    </row>
    <row r="27" spans="1:15" x14ac:dyDescent="0.25">
      <c r="A27" t="s">
        <v>72</v>
      </c>
      <c r="B27" s="6">
        <v>0</v>
      </c>
      <c r="C27" s="6">
        <f>LoanModule!E9</f>
        <v>4763.404667611454</v>
      </c>
      <c r="D27" s="6">
        <f>LoanModule!E10</f>
        <v>4795.1606987288642</v>
      </c>
      <c r="E27" s="6">
        <f>LoanModule!E11</f>
        <v>4827.1284367203898</v>
      </c>
      <c r="F27" s="6">
        <f>LoanModule!E12</f>
        <v>4859.3092929651921</v>
      </c>
      <c r="G27" s="6">
        <f>LoanModule!E13</f>
        <v>4891.7046882516279</v>
      </c>
      <c r="H27" s="6">
        <f>LoanModule!E14</f>
        <v>4924.3160528399712</v>
      </c>
      <c r="I27" s="6">
        <f>LoanModule!E15</f>
        <v>4957.1448265255713</v>
      </c>
      <c r="J27" s="6">
        <f>LoanModule!E16</f>
        <v>4990.1924587024087</v>
      </c>
      <c r="K27" s="6">
        <f>LoanModule!E17</f>
        <v>5023.4604084270923</v>
      </c>
      <c r="L27" s="6">
        <f>LoanModule!E18</f>
        <v>5056.9501444832722</v>
      </c>
      <c r="M27" s="6">
        <f>LoanModule!E19</f>
        <v>5090.6631454464941</v>
      </c>
      <c r="N27" s="6">
        <f>LoanModule!E20</f>
        <v>5124.600899749471</v>
      </c>
      <c r="O27" s="7">
        <f t="shared" si="2"/>
        <v>59304.035720451808</v>
      </c>
    </row>
    <row r="28" spans="1:15" x14ac:dyDescent="0.25">
      <c r="A28" t="s">
        <v>16</v>
      </c>
      <c r="B28" s="6">
        <v>0</v>
      </c>
      <c r="C28" s="6">
        <f>DATA!B40</f>
        <v>0</v>
      </c>
      <c r="D28" s="6">
        <f>DATA!C40</f>
        <v>0</v>
      </c>
      <c r="E28" s="6">
        <f>DATA!D40</f>
        <v>0</v>
      </c>
      <c r="F28" s="6">
        <f>DATA!E40</f>
        <v>0</v>
      </c>
      <c r="G28" s="6">
        <f>DATA!F40</f>
        <v>0</v>
      </c>
      <c r="H28" s="6">
        <f>DATA!G40</f>
        <v>0</v>
      </c>
      <c r="I28" s="6">
        <f>DATA!H40</f>
        <v>0</v>
      </c>
      <c r="J28" s="6">
        <f>DATA!I40</f>
        <v>0</v>
      </c>
      <c r="K28" s="6">
        <f>DATA!J40</f>
        <v>0</v>
      </c>
      <c r="L28" s="6">
        <f>DATA!K40</f>
        <v>0</v>
      </c>
      <c r="M28" s="6">
        <f>DATA!L40</f>
        <v>0</v>
      </c>
      <c r="N28" s="6">
        <f>DATA!M40</f>
        <v>0</v>
      </c>
      <c r="O28" s="7">
        <f t="shared" si="2"/>
        <v>0</v>
      </c>
    </row>
    <row r="29" spans="1:15" x14ac:dyDescent="0.25">
      <c r="A29" t="s">
        <v>73</v>
      </c>
      <c r="B29" s="6">
        <v>0</v>
      </c>
      <c r="C29" s="6">
        <f>IF(DATA!E19=C5,DATA!B19,0)+IF(DATA!E22=C5,DATA!B22,0)</f>
        <v>450000</v>
      </c>
      <c r="D29" s="6">
        <f>IF(DATA!E19=D5,DATA!B19,0)+IF(DATA!E22=D5,DATA!B22,0)</f>
        <v>0</v>
      </c>
      <c r="E29" s="6">
        <f>IF(DATA!E19=E5,DATA!B19,0)+IF(DATA!E22=E5,DATA!B22,0)</f>
        <v>0</v>
      </c>
      <c r="F29" s="6">
        <f>IF(DATA!E19=F5,DATA!B19,0)+IF(DATA!E22=F5,DATA!B22,0)</f>
        <v>0</v>
      </c>
      <c r="G29" s="6">
        <f>IF(DATA!E19=G5,DATA!B19,0)+IF(DATA!E22=G5,DATA!B22,0)</f>
        <v>0</v>
      </c>
      <c r="H29" s="6">
        <f>IF(DATA!E19=H5,DATA!B19,0)+IF(DATA!E22=H5,DATA!B22,0)</f>
        <v>0</v>
      </c>
      <c r="I29" s="6">
        <f>IF(DATA!E19=I5,DATA!B19,0)+IF(DATA!E22=I5,DATA!B22,0)</f>
        <v>0</v>
      </c>
      <c r="J29" s="6">
        <f>IF(DATA!E19=J5,DATA!B19,0)+IF(DATA!E22=J5,DATA!B22,0)</f>
        <v>0</v>
      </c>
      <c r="K29" s="6">
        <f>IF(DATA!E19=K5,DATA!B19,0)+IF(DATA!E22=K5,DATA!B22,0)</f>
        <v>0</v>
      </c>
      <c r="L29" s="6">
        <f>IF(DATA!E19=L5,DATA!B19,0)+IF(DATA!E22=L5,DATA!B22,0)</f>
        <v>0</v>
      </c>
      <c r="M29" s="6">
        <f>IF(DATA!E19=M5,DATA!B19,0)+IF(DATA!E22=M5,DATA!B22,0)</f>
        <v>0</v>
      </c>
      <c r="N29" s="6">
        <f>IF(DATA!E19=N5,DATA!B19,0)+IF(DATA!E22=N5,DATA!B22,0)</f>
        <v>0</v>
      </c>
      <c r="O29" s="7">
        <f t="shared" si="2"/>
        <v>450000</v>
      </c>
    </row>
    <row r="30" spans="1:15" x14ac:dyDescent="0.25">
      <c r="A30" t="s">
        <v>74</v>
      </c>
      <c r="B30" s="6">
        <v>0</v>
      </c>
      <c r="C30" s="6">
        <f>(DATA!B56*DATA!B61)/2</f>
        <v>0</v>
      </c>
      <c r="D30" s="6">
        <f>((DATA!B56*DATA!B61)/2)+((DATA!B56*DATA!C61)/2)</f>
        <v>0</v>
      </c>
      <c r="E30" s="6">
        <f>((DATA!B56*DATA!C61)/2)+((DATA!B56*DATA!D61)/2)</f>
        <v>0</v>
      </c>
      <c r="F30" s="6">
        <f>((DATA!B56*DATA!D61)/2)+((DATA!B56*DATA!E61)/2)</f>
        <v>0</v>
      </c>
      <c r="G30" s="6">
        <f>((DATA!B56*DATA!E61)/2)+((DATA!B56*DATA!F61)/2)</f>
        <v>0</v>
      </c>
      <c r="H30" s="6">
        <f>((DATA!B56*DATA!F61)/2)+((DATA!B56*DATA!G61)/2)</f>
        <v>0</v>
      </c>
      <c r="I30" s="6">
        <f>((DATA!B56*DATA!G61)/2)+((DATA!B56*DATA!H61)/2)</f>
        <v>0</v>
      </c>
      <c r="J30" s="6">
        <f>((DATA!B56*DATA!H61)/2)+((DATA!B56*DATA!I61)/2)</f>
        <v>0</v>
      </c>
      <c r="K30" s="6">
        <f>((DATA!B56*DATA!I61)/2)+((DATA!B56*DATA!J61)/2)</f>
        <v>0</v>
      </c>
      <c r="L30" s="6">
        <f>((DATA!B56*DATA!J61)/2)+((DATA!B56*DATA!K61)/2)</f>
        <v>0</v>
      </c>
      <c r="M30" s="6">
        <f>((DATA!B56*DATA!K61)/2)+((DATA!B56*DATA!L61)/2)</f>
        <v>0</v>
      </c>
      <c r="N30" s="6">
        <f>((DATA!B56*DATA!L61)/2)+((DATA!B56*DATA!M61)/2)</f>
        <v>0</v>
      </c>
      <c r="O30" s="7">
        <f t="shared" si="2"/>
        <v>0</v>
      </c>
    </row>
    <row r="31" spans="1:15" x14ac:dyDescent="0.25">
      <c r="A31" t="s">
        <v>61</v>
      </c>
      <c r="B31" s="6">
        <v>0</v>
      </c>
      <c r="C31" s="6">
        <f>IncomeStatement_Year1!B35</f>
        <v>1555.244970726895</v>
      </c>
      <c r="D31" s="6">
        <f>IncomeStatement_Year1!C35</f>
        <v>1555.244970726895</v>
      </c>
      <c r="E31" s="6">
        <f>IncomeStatement_Year1!D35</f>
        <v>1555.244970726895</v>
      </c>
      <c r="F31" s="6">
        <f>IncomeStatement_Year1!E35</f>
        <v>1555.244970726895</v>
      </c>
      <c r="G31" s="6">
        <f>IncomeStatement_Year1!F35</f>
        <v>1555.244970726895</v>
      </c>
      <c r="H31" s="6">
        <f>IncomeStatement_Year1!G35</f>
        <v>1555.244970726895</v>
      </c>
      <c r="I31" s="6">
        <f>IncomeStatement_Year1!H35</f>
        <v>1555.244970726895</v>
      </c>
      <c r="J31" s="6">
        <f>IncomeStatement_Year1!I35</f>
        <v>1555.244970726895</v>
      </c>
      <c r="K31" s="6">
        <f>IncomeStatement_Year1!J35</f>
        <v>1555.244970726895</v>
      </c>
      <c r="L31" s="6">
        <f>IncomeStatement_Year1!K35</f>
        <v>1555.244970726895</v>
      </c>
      <c r="M31" s="6">
        <f>IncomeStatement_Year1!L35</f>
        <v>1555.244970726895</v>
      </c>
      <c r="N31" s="6">
        <f>IncomeStatement_Year1!M35</f>
        <v>1555.244970726895</v>
      </c>
      <c r="O31" s="7">
        <f t="shared" si="2"/>
        <v>18662.939648722739</v>
      </c>
    </row>
    <row r="32" spans="1:15" hidden="1" x14ac:dyDescent="0.25">
      <c r="A32" t="s">
        <v>75</v>
      </c>
      <c r="B32" s="6">
        <v>0</v>
      </c>
      <c r="C32" s="6">
        <f>StartupCosts!B5-(IncomeStatement_Year1!B10*DATA!B3)</f>
        <v>0</v>
      </c>
      <c r="D32" s="6">
        <f>IncomeStatement_Year1!B10*DATA!B3-IncomeStatement_Year1!C10*DATA!B3</f>
        <v>0</v>
      </c>
      <c r="E32" s="6">
        <f>IncomeStatement_Year1!C10*DATA!B3-IncomeStatement_Year1!D10*DATA!B3</f>
        <v>0</v>
      </c>
      <c r="F32" s="6">
        <f>IncomeStatement_Year1!D10*DATA!B3-IncomeStatement_Year1!E10*DATA!B3</f>
        <v>0</v>
      </c>
      <c r="G32" s="6">
        <f>IncomeStatement_Year1!E10*DATA!B3-IncomeStatement_Year1!F10*DATA!B3</f>
        <v>0</v>
      </c>
      <c r="H32" s="6">
        <f>IncomeStatement_Year1!F10*DATA!B3-IncomeStatement_Year1!G10*DATA!B3</f>
        <v>0</v>
      </c>
      <c r="I32" s="6">
        <f>IncomeStatement_Year1!G10*DATA!B3-IncomeStatement_Year1!H10*DATA!B3</f>
        <v>0</v>
      </c>
      <c r="J32" s="6">
        <f>IncomeStatement_Year1!H10*DATA!B3-IncomeStatement_Year1!I10*DATA!B3</f>
        <v>0</v>
      </c>
      <c r="K32" s="6">
        <f>IncomeStatement_Year1!I10*DATA!B3-IncomeStatement_Year1!J10*DATA!B3</f>
        <v>0</v>
      </c>
      <c r="L32" s="6">
        <f>IncomeStatement_Year1!J10*DATA!B3-IncomeStatement_Year1!K10*DATA!B3</f>
        <v>0</v>
      </c>
      <c r="M32" s="6">
        <f>IncomeStatement_Year1!K10*DATA!B3-IncomeStatement_Year1!L10*DATA!B3</f>
        <v>0</v>
      </c>
      <c r="N32" s="6">
        <f>IncomeStatement_Year1!L10*DATA!B3-IncomeStatement_Year1!M10*DATA!B3</f>
        <v>0</v>
      </c>
      <c r="O32" s="7">
        <f t="shared" si="2"/>
        <v>0</v>
      </c>
    </row>
    <row r="33" spans="1:15" x14ac:dyDescent="0.25">
      <c r="A33" s="4" t="s">
        <v>76</v>
      </c>
      <c r="B33" s="9">
        <f t="shared" ref="B33:N33" si="3">SUM(B15:B31)-B32</f>
        <v>0</v>
      </c>
      <c r="C33" s="9">
        <f t="shared" si="3"/>
        <v>481256.02297167166</v>
      </c>
      <c r="D33" s="9">
        <f t="shared" si="3"/>
        <v>33864.910847047053</v>
      </c>
      <c r="E33" s="9">
        <f t="shared" si="3"/>
        <v>33874.860845111616</v>
      </c>
      <c r="F33" s="9">
        <f t="shared" si="3"/>
        <v>33885.318523669506</v>
      </c>
      <c r="G33" s="9">
        <f t="shared" si="3"/>
        <v>33896.282276474813</v>
      </c>
      <c r="H33" s="9">
        <f t="shared" si="3"/>
        <v>33907.750541235961</v>
      </c>
      <c r="I33" s="9">
        <f t="shared" si="3"/>
        <v>33919.721799435581</v>
      </c>
      <c r="J33" s="9">
        <f t="shared" si="3"/>
        <v>33932.194576154798</v>
      </c>
      <c r="K33" s="9">
        <f t="shared" si="3"/>
        <v>33945.167439901736</v>
      </c>
      <c r="L33" s="9">
        <f t="shared" si="3"/>
        <v>33958.639002444434</v>
      </c>
      <c r="M33" s="9">
        <f t="shared" si="3"/>
        <v>33972.607918647984</v>
      </c>
      <c r="N33" s="9">
        <f t="shared" si="3"/>
        <v>33987.072886315953</v>
      </c>
      <c r="O33" s="9">
        <f t="shared" si="2"/>
        <v>854400.54962811118</v>
      </c>
    </row>
    <row r="35" spans="1:15" x14ac:dyDescent="0.25">
      <c r="A35" s="4" t="s">
        <v>77</v>
      </c>
      <c r="B35" s="10">
        <f t="shared" ref="B35:N35" si="4">B12-B33</f>
        <v>0</v>
      </c>
      <c r="C35" s="10">
        <f t="shared" si="4"/>
        <v>-90456.022971671657</v>
      </c>
      <c r="D35" s="10">
        <f t="shared" si="4"/>
        <v>7016.7299529529337</v>
      </c>
      <c r="E35" s="10">
        <f t="shared" si="4"/>
        <v>7088.5841181291689</v>
      </c>
      <c r="F35" s="10">
        <f t="shared" si="4"/>
        <v>7160.0942929427038</v>
      </c>
      <c r="G35" s="10">
        <f t="shared" si="4"/>
        <v>7231.2624111834375</v>
      </c>
      <c r="H35" s="10">
        <f t="shared" si="4"/>
        <v>7302.0903633422786</v>
      </c>
      <c r="I35" s="10">
        <f t="shared" si="4"/>
        <v>7372.5799967927087</v>
      </c>
      <c r="J35" s="10">
        <f t="shared" si="4"/>
        <v>7442.7331159677415</v>
      </c>
      <c r="K35" s="10">
        <f t="shared" si="4"/>
        <v>7512.5514825327264</v>
      </c>
      <c r="L35" s="10">
        <f t="shared" si="4"/>
        <v>7582.0368155538163</v>
      </c>
      <c r="M35" s="10">
        <f t="shared" si="4"/>
        <v>7651.1907916620767</v>
      </c>
      <c r="N35" s="10">
        <f t="shared" si="4"/>
        <v>7720.0150452134258</v>
      </c>
      <c r="O35" s="10">
        <f>SUM(B35:N35)</f>
        <v>-9376.1545853986463</v>
      </c>
    </row>
    <row r="37" spans="1:15" x14ac:dyDescent="0.25">
      <c r="A37" s="4" t="s">
        <v>78</v>
      </c>
      <c r="B37" s="7">
        <f>B35</f>
        <v>0</v>
      </c>
      <c r="C37" s="7">
        <f t="shared" ref="C37:N37" si="5">B37+C35</f>
        <v>-90456.022971671657</v>
      </c>
      <c r="D37" s="7">
        <f t="shared" si="5"/>
        <v>-83439.293018718716</v>
      </c>
      <c r="E37" s="7">
        <f t="shared" si="5"/>
        <v>-76350.708900589554</v>
      </c>
      <c r="F37" s="7">
        <f t="shared" si="5"/>
        <v>-69190.614607646858</v>
      </c>
      <c r="G37" s="7">
        <f t="shared" si="5"/>
        <v>-61959.35219646342</v>
      </c>
      <c r="H37" s="7">
        <f t="shared" si="5"/>
        <v>-54657.261833121142</v>
      </c>
      <c r="I37" s="7">
        <f t="shared" si="5"/>
        <v>-47284.681836328433</v>
      </c>
      <c r="J37" s="7">
        <f t="shared" si="5"/>
        <v>-39841.948720360691</v>
      </c>
      <c r="K37" s="7">
        <f t="shared" si="5"/>
        <v>-32329.397237827965</v>
      </c>
      <c r="L37" s="7">
        <f t="shared" si="5"/>
        <v>-24747.360422274149</v>
      </c>
      <c r="M37" s="7">
        <f t="shared" si="5"/>
        <v>-17096.169630612072</v>
      </c>
      <c r="N37" s="7">
        <f t="shared" si="5"/>
        <v>-9376.1545853986463</v>
      </c>
      <c r="O37" s="7">
        <f>N37</f>
        <v>-9376.1545853986463</v>
      </c>
    </row>
    <row r="42" spans="1:15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0" workbookViewId="0">
      <selection activeCell="A32" sqref="A32:XFD32"/>
    </sheetView>
  </sheetViews>
  <sheetFormatPr defaultColWidth="8.85546875" defaultRowHeight="15" x14ac:dyDescent="0.25"/>
  <cols>
    <col min="1" max="1" width="29.42578125" bestFit="1" customWidth="1"/>
    <col min="2" max="12" width="9.28515625" bestFit="1" customWidth="1"/>
    <col min="13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66</v>
      </c>
    </row>
    <row r="3" spans="1:14" x14ac:dyDescent="0.25">
      <c r="A3" t="s">
        <v>64</v>
      </c>
    </row>
    <row r="5" spans="1:14" x14ac:dyDescent="0.25"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64</v>
      </c>
    </row>
    <row r="7" spans="1:14" x14ac:dyDescent="0.25">
      <c r="A7" s="4" t="s">
        <v>67</v>
      </c>
      <c r="B7" s="6">
        <f>CashFlowStatement_Year1!N7+CashFlowStatement_Year1!N35</f>
        <v>40623.845414601361</v>
      </c>
      <c r="C7" s="6">
        <f t="shared" ref="C7:M7" si="0">B7+B35</f>
        <v>38185.541682195908</v>
      </c>
      <c r="D7" s="6">
        <f t="shared" si="0"/>
        <v>45754.6227957663</v>
      </c>
      <c r="E7" s="6">
        <f t="shared" si="0"/>
        <v>53391.42687224051</v>
      </c>
      <c r="F7" s="6">
        <f t="shared" si="0"/>
        <v>61095.63018527496</v>
      </c>
      <c r="G7" s="6">
        <f t="shared" si="0"/>
        <v>68866.910433635188</v>
      </c>
      <c r="H7" s="6">
        <f t="shared" si="0"/>
        <v>76704.946699791326</v>
      </c>
      <c r="I7" s="6">
        <f t="shared" si="0"/>
        <v>84609.419408644084</v>
      </c>
      <c r="J7" s="6">
        <f t="shared" si="0"/>
        <v>92580.01028637703</v>
      </c>
      <c r="K7" s="6">
        <f t="shared" si="0"/>
        <v>100616.40231943117</v>
      </c>
      <c r="L7" s="6">
        <f t="shared" si="0"/>
        <v>108718.2797135975</v>
      </c>
      <c r="M7" s="6">
        <f t="shared" si="0"/>
        <v>116885.3278532236</v>
      </c>
      <c r="N7" s="7">
        <f>M7</f>
        <v>116885.3278532236</v>
      </c>
    </row>
    <row r="9" spans="1:14" x14ac:dyDescent="0.25">
      <c r="A9" s="4" t="s">
        <v>68</v>
      </c>
    </row>
    <row r="10" spans="1:14" x14ac:dyDescent="0.25">
      <c r="A10" t="s">
        <v>25</v>
      </c>
      <c r="B10" s="6">
        <f>DATA!N67</f>
        <v>41790.543814480363</v>
      </c>
      <c r="C10" s="6">
        <f>DATA!O67</f>
        <v>41874.166692653132</v>
      </c>
      <c r="D10" s="6">
        <f>DATA!P67</f>
        <v>41957.956900205121</v>
      </c>
      <c r="E10" s="6">
        <f>DATA!Q67</f>
        <v>42041.914771962423</v>
      </c>
      <c r="F10" s="6">
        <f>DATA!R67</f>
        <v>42126.040643421104</v>
      </c>
      <c r="G10" s="6">
        <f>DATA!S67</f>
        <v>42210.334850748579</v>
      </c>
      <c r="H10" s="6">
        <f>DATA!T67</f>
        <v>42294.797730784914</v>
      </c>
      <c r="I10" s="6">
        <f>DATA!U67</f>
        <v>42379.429621044204</v>
      </c>
      <c r="J10" s="6">
        <f>DATA!V67</f>
        <v>42464.230859715914</v>
      </c>
      <c r="K10" s="6">
        <f>DATA!W67</f>
        <v>42549.201785666191</v>
      </c>
      <c r="L10" s="6">
        <f>DATA!X67</f>
        <v>42634.3427384393</v>
      </c>
      <c r="M10" s="6">
        <f>DATA!Y67</f>
        <v>42719.654058258908</v>
      </c>
      <c r="N10" s="7">
        <f>SUM(B10:M10)</f>
        <v>507042.61446738016</v>
      </c>
    </row>
    <row r="11" spans="1:14" x14ac:dyDescent="0.25">
      <c r="A11" t="s">
        <v>45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69</v>
      </c>
      <c r="B12" s="9">
        <f t="shared" ref="B12:M12" si="1">SUM(B10:B11)</f>
        <v>41790.543814480363</v>
      </c>
      <c r="C12" s="9">
        <f t="shared" si="1"/>
        <v>41874.166692653132</v>
      </c>
      <c r="D12" s="9">
        <f t="shared" si="1"/>
        <v>41957.956900205121</v>
      </c>
      <c r="E12" s="9">
        <f t="shared" si="1"/>
        <v>42041.914771962423</v>
      </c>
      <c r="F12" s="9">
        <f t="shared" si="1"/>
        <v>42126.040643421104</v>
      </c>
      <c r="G12" s="9">
        <f t="shared" si="1"/>
        <v>42210.334850748579</v>
      </c>
      <c r="H12" s="9">
        <f t="shared" si="1"/>
        <v>42294.797730784914</v>
      </c>
      <c r="I12" s="9">
        <f t="shared" si="1"/>
        <v>42379.429621044204</v>
      </c>
      <c r="J12" s="9">
        <f t="shared" si="1"/>
        <v>42464.230859715914</v>
      </c>
      <c r="K12" s="9">
        <f t="shared" si="1"/>
        <v>42549.201785666191</v>
      </c>
      <c r="L12" s="9">
        <f t="shared" si="1"/>
        <v>42634.3427384393</v>
      </c>
      <c r="M12" s="9">
        <f t="shared" si="1"/>
        <v>42719.654058258908</v>
      </c>
      <c r="N12" s="9">
        <f>SUM(B12:M12)</f>
        <v>507042.61446738016</v>
      </c>
    </row>
    <row r="14" spans="1:14" x14ac:dyDescent="0.25">
      <c r="A14" s="4" t="s">
        <v>70</v>
      </c>
    </row>
    <row r="15" spans="1:14" x14ac:dyDescent="0.25">
      <c r="A15" t="s">
        <v>158</v>
      </c>
      <c r="B15" s="6">
        <f>(DATA!M62/2)+(DATA!N62/2)</f>
        <v>7949.5468996082773</v>
      </c>
      <c r="C15" s="6">
        <f>(DATA!N62/2)+(DATA!O62/2)</f>
        <v>7973.4273703247163</v>
      </c>
      <c r="D15" s="6">
        <f>(DATA!O62/2)+(DATA!P62/2)</f>
        <v>7997.379578070806</v>
      </c>
      <c r="E15" s="6">
        <f>(DATA!P62/2)+(DATA!Q62/2)</f>
        <v>8021.4037383448685</v>
      </c>
      <c r="F15" s="6">
        <f>(DATA!Q62/2)+(DATA!R62/2)</f>
        <v>8045.5000672925871</v>
      </c>
      <c r="G15" s="6">
        <f>(DATA!R62/2)+(DATA!S62/2)</f>
        <v>8069.668781708946</v>
      </c>
      <c r="H15" s="6">
        <f>(DATA!S62/2)+(DATA!T62/2)</f>
        <v>8093.9100990401839</v>
      </c>
      <c r="I15" s="6">
        <f>(DATA!T62/2)+(DATA!U62/2)</f>
        <v>8118.2242373857471</v>
      </c>
      <c r="J15" s="6">
        <f>(DATA!U62/2)+(DATA!V62/2)</f>
        <v>8142.6114155002542</v>
      </c>
      <c r="K15" s="6">
        <f>(DATA!V62/2)+(DATA!W62/2)</f>
        <v>8167.0718527954641</v>
      </c>
      <c r="L15" s="6">
        <f>(DATA!W62/2)+(DATA!X62/2)</f>
        <v>8191.605769342249</v>
      </c>
      <c r="M15" s="6">
        <f>(DATA!X62/2)+(DATA!Y62/2)</f>
        <v>8216.2133858725738</v>
      </c>
      <c r="N15" s="7">
        <f t="shared" ref="N15:N33" si="2">SUM(B15:M15)</f>
        <v>96986.563195286668</v>
      </c>
    </row>
    <row r="16" spans="1:14" x14ac:dyDescent="0.25">
      <c r="A16" t="s">
        <v>71</v>
      </c>
      <c r="B16" s="6">
        <f>(DATA!M63/2)+(DATA!N63/2)</f>
        <v>5158.9898655119041</v>
      </c>
      <c r="C16" s="6">
        <f>(DATA!N63/2)+(DATA!O63/2)</f>
        <v>5224.8728286071628</v>
      </c>
      <c r="D16" s="6">
        <f>(DATA!O63/2)+(DATA!P63/2)</f>
        <v>5230.0977014357695</v>
      </c>
      <c r="E16" s="6">
        <f>(DATA!P63/2)+(DATA!Q63/2)</f>
        <v>5235.3277991372051</v>
      </c>
      <c r="F16" s="6">
        <f>(DATA!Q63/2)+(DATA!R63/2)</f>
        <v>5240.5631269363412</v>
      </c>
      <c r="G16" s="6">
        <f>(DATA!R63/2)+(DATA!S63/2)</f>
        <v>5245.803690063276</v>
      </c>
      <c r="H16" s="6">
        <f>(DATA!S63/2)+(DATA!T63/2)</f>
        <v>5251.0494937533385</v>
      </c>
      <c r="I16" s="6">
        <f>(DATA!T63/2)+(DATA!U63/2)</f>
        <v>5256.3005432470918</v>
      </c>
      <c r="J16" s="6">
        <f>(DATA!U63/2)+(DATA!V63/2)</f>
        <v>5261.5568437903385</v>
      </c>
      <c r="K16" s="6">
        <f>(DATA!V63/2)+(DATA!W63/2)</f>
        <v>5266.8184006341289</v>
      </c>
      <c r="L16" s="6">
        <f>(DATA!W63/2)+(DATA!X63/2)</f>
        <v>5272.0852190347614</v>
      </c>
      <c r="M16" s="6">
        <f>(DATA!X63/2)+(DATA!Y63/2)</f>
        <v>5277.3573042537955</v>
      </c>
      <c r="N16" s="7">
        <f t="shared" si="2"/>
        <v>62920.822816405118</v>
      </c>
    </row>
    <row r="17" spans="1:14" x14ac:dyDescent="0.25">
      <c r="A17" t="s">
        <v>18</v>
      </c>
      <c r="B17" s="6">
        <f>(DATA!M44/2)+(DATA!N44/2)</f>
        <v>2754.0985219756176</v>
      </c>
      <c r="C17" s="6">
        <f>(DATA!N44/2)+(DATA!O44/2)</f>
        <v>2726.5575367558613</v>
      </c>
      <c r="D17" s="6">
        <f>(DATA!O44/2)+(DATA!P44/2)</f>
        <v>2699.2919613883032</v>
      </c>
      <c r="E17" s="6">
        <f>(DATA!P44/2)+(DATA!Q44/2)</f>
        <v>2672.2990417744199</v>
      </c>
      <c r="F17" s="6">
        <f>(DATA!Q44/2)+(DATA!R44/2)</f>
        <v>2645.5760513566756</v>
      </c>
      <c r="G17" s="6">
        <f>(DATA!R44/2)+(DATA!S44/2)</f>
        <v>2619.1202908431087</v>
      </c>
      <c r="H17" s="6">
        <f>(DATA!S44/2)+(DATA!T44/2)</f>
        <v>2592.9290879346772</v>
      </c>
      <c r="I17" s="6">
        <f>(DATA!T44/2)+(DATA!U44/2)</f>
        <v>2566.9997970553304</v>
      </c>
      <c r="J17" s="6">
        <f>(DATA!U44/2)+(DATA!V44/2)</f>
        <v>2541.3297990847777</v>
      </c>
      <c r="K17" s="6">
        <f>(DATA!V44/2)+(DATA!W44/2)</f>
        <v>2515.9165010939296</v>
      </c>
      <c r="L17" s="6">
        <f>(DATA!W44/2)+(DATA!X44/2)</f>
        <v>2490.7573360829902</v>
      </c>
      <c r="M17" s="6">
        <f>(DATA!X44/2)+(DATA!Y44/2)</f>
        <v>2465.8497627221604</v>
      </c>
      <c r="N17" s="7">
        <f t="shared" si="2"/>
        <v>31290.725688067847</v>
      </c>
    </row>
    <row r="18" spans="1:14" x14ac:dyDescent="0.25">
      <c r="A18" t="s">
        <v>152</v>
      </c>
      <c r="B18" s="6">
        <f>(DATA!M46/2)+(DATA!N46/2)</f>
        <v>240</v>
      </c>
      <c r="C18" s="6">
        <f>(DATA!N46/2)+(DATA!O46/2)</f>
        <v>240</v>
      </c>
      <c r="D18" s="6">
        <f>(DATA!O46/2)+(DATA!P46/2)</f>
        <v>240</v>
      </c>
      <c r="E18" s="6">
        <f>(DATA!P46/2)+(DATA!Q46/2)</f>
        <v>240</v>
      </c>
      <c r="F18" s="6">
        <f>(DATA!Q46/2)+(DATA!R46/2)</f>
        <v>240</v>
      </c>
      <c r="G18" s="6">
        <f>(DATA!R46/2)+(DATA!S46/2)</f>
        <v>240</v>
      </c>
      <c r="H18" s="6">
        <f>(DATA!S46/2)+(DATA!T46/2)</f>
        <v>240</v>
      </c>
      <c r="I18" s="6">
        <f>(DATA!T46/2)+(DATA!U46/2)</f>
        <v>240</v>
      </c>
      <c r="J18" s="6">
        <f>(DATA!U46/2)+(DATA!V46/2)</f>
        <v>240</v>
      </c>
      <c r="K18" s="6">
        <f>(DATA!V46/2)+(DATA!W46/2)</f>
        <v>240</v>
      </c>
      <c r="L18" s="6">
        <f>(DATA!W46/2)+(DATA!X46/2)</f>
        <v>240</v>
      </c>
      <c r="M18" s="6">
        <f>(DATA!X46/2)+(DATA!Y46/2)</f>
        <v>240</v>
      </c>
      <c r="N18" s="7">
        <f t="shared" si="2"/>
        <v>2880</v>
      </c>
    </row>
    <row r="19" spans="1:14" x14ac:dyDescent="0.25">
      <c r="A19" t="s">
        <v>148</v>
      </c>
      <c r="B19" s="6">
        <f>(DATA!M47/2)+(DATA!N47/2)</f>
        <v>200</v>
      </c>
      <c r="C19" s="6">
        <f>(DATA!N47/2)+(DATA!O47/2)</f>
        <v>200</v>
      </c>
      <c r="D19" s="6">
        <f>(DATA!O47/2)+(DATA!P47/2)</f>
        <v>200</v>
      </c>
      <c r="E19" s="6">
        <f>(DATA!P47/2)+(DATA!Q47/2)</f>
        <v>200</v>
      </c>
      <c r="F19" s="6">
        <f>(DATA!Q47/2)+(DATA!R47/2)</f>
        <v>200</v>
      </c>
      <c r="G19" s="6">
        <f>(DATA!R47/2)+(DATA!S47/2)</f>
        <v>200</v>
      </c>
      <c r="H19" s="6">
        <f>(DATA!S47/2)+(DATA!T47/2)</f>
        <v>200</v>
      </c>
      <c r="I19" s="6">
        <f>(DATA!T47/2)+(DATA!U47/2)</f>
        <v>200</v>
      </c>
      <c r="J19" s="6">
        <f>(DATA!U47/2)+(DATA!V47/2)</f>
        <v>200</v>
      </c>
      <c r="K19" s="6">
        <f>(DATA!V47/2)+(DATA!W47/2)</f>
        <v>200</v>
      </c>
      <c r="L19" s="6">
        <f>(DATA!W47/2)+(DATA!X47/2)</f>
        <v>200</v>
      </c>
      <c r="M19" s="6">
        <f>(DATA!X47/2)+(DATA!Y47/2)</f>
        <v>200</v>
      </c>
      <c r="N19" s="7">
        <f t="shared" si="2"/>
        <v>2400</v>
      </c>
    </row>
    <row r="20" spans="1:14" x14ac:dyDescent="0.25">
      <c r="A20" t="s">
        <v>149</v>
      </c>
      <c r="B20" s="6">
        <f>(DATA!M48/2)+(DATA!N48/2)</f>
        <v>1401.558360498304</v>
      </c>
      <c r="C20" s="6">
        <f>(DATA!N48/2)+(DATA!O48/2)</f>
        <v>1415.573944103287</v>
      </c>
      <c r="D20" s="6">
        <f>(DATA!O48/2)+(DATA!P48/2)</f>
        <v>1429.7296835443199</v>
      </c>
      <c r="E20" s="6">
        <f>(DATA!P48/2)+(DATA!Q48/2)</f>
        <v>1444.0269803797632</v>
      </c>
      <c r="F20" s="6">
        <f>(DATA!Q48/2)+(DATA!R48/2)</f>
        <v>1458.467250183561</v>
      </c>
      <c r="G20" s="6">
        <f>(DATA!R48/2)+(DATA!S48/2)</f>
        <v>1473.0519226853967</v>
      </c>
      <c r="H20" s="6">
        <f>(DATA!S48/2)+(DATA!T48/2)</f>
        <v>1487.7824419122508</v>
      </c>
      <c r="I20" s="6">
        <f>(DATA!T48/2)+(DATA!U48/2)</f>
        <v>1502.6602663313731</v>
      </c>
      <c r="J20" s="6">
        <f>(DATA!U48/2)+(DATA!V48/2)</f>
        <v>1517.6868689946868</v>
      </c>
      <c r="K20" s="6">
        <f>(DATA!V48/2)+(DATA!W48/2)</f>
        <v>1532.8637376846336</v>
      </c>
      <c r="L20" s="6">
        <f>(DATA!W48/2)+(DATA!X48/2)</f>
        <v>1548.1923750614801</v>
      </c>
      <c r="M20" s="6">
        <f>(DATA!X48/2)+(DATA!Y48/2)</f>
        <v>1563.674298812095</v>
      </c>
      <c r="N20" s="7">
        <f t="shared" si="2"/>
        <v>17775.268130191158</v>
      </c>
    </row>
    <row r="21" spans="1:14" x14ac:dyDescent="0.25">
      <c r="A21" t="s">
        <v>166</v>
      </c>
      <c r="B21" s="6">
        <f>(DATA!M50/2)+(DATA!N50/2)</f>
        <v>6939.91</v>
      </c>
      <c r="C21" s="6">
        <f>(DATA!N50/2)+(DATA!O50/2)</f>
        <v>6939.91</v>
      </c>
      <c r="D21" s="6">
        <f>(DATA!O50/2)+(DATA!P50/2)</f>
        <v>6939.91</v>
      </c>
      <c r="E21" s="6">
        <f>(DATA!P50/2)+(DATA!Q50/2)</f>
        <v>6939.91</v>
      </c>
      <c r="F21" s="6">
        <f>(DATA!Q50/2)+(DATA!R50/2)</f>
        <v>6939.91</v>
      </c>
      <c r="G21" s="6">
        <f>(DATA!R50/2)+(DATA!S50/2)</f>
        <v>6939.91</v>
      </c>
      <c r="H21" s="6">
        <f>(DATA!S50/2)+(DATA!T50/2)</f>
        <v>6939.91</v>
      </c>
      <c r="I21" s="6">
        <f>(DATA!T50/2)+(DATA!U50/2)</f>
        <v>6939.91</v>
      </c>
      <c r="J21" s="6">
        <f>(DATA!U50/2)+(DATA!V50/2)</f>
        <v>6939.91</v>
      </c>
      <c r="K21" s="6">
        <f>(DATA!V50/2)+(DATA!W50/2)</f>
        <v>6939.91</v>
      </c>
      <c r="L21" s="6">
        <f>(DATA!W50/2)+(DATA!X50/2)</f>
        <v>6939.91</v>
      </c>
      <c r="M21" s="6">
        <f>(DATA!X50/2)+(DATA!Y50/2)</f>
        <v>6939.91</v>
      </c>
      <c r="N21" s="7">
        <f t="shared" si="2"/>
        <v>83278.920000000027</v>
      </c>
    </row>
    <row r="22" spans="1:14" x14ac:dyDescent="0.25">
      <c r="A22" t="s">
        <v>153</v>
      </c>
      <c r="B22" s="6">
        <f>(DATA!M51/2)+(DATA!N51/2)</f>
        <v>100</v>
      </c>
      <c r="C22" s="6">
        <f>(DATA!N51/2)+(DATA!O51/2)</f>
        <v>100</v>
      </c>
      <c r="D22" s="6">
        <f>(DATA!O51/2)+(DATA!P51/2)</f>
        <v>100</v>
      </c>
      <c r="E22" s="6">
        <f>(DATA!P51/2)+(DATA!Q51/2)</f>
        <v>100</v>
      </c>
      <c r="F22" s="6">
        <f>(DATA!Q51/2)+(DATA!R51/2)</f>
        <v>100</v>
      </c>
      <c r="G22" s="6">
        <f>(DATA!R51/2)+(DATA!S51/2)</f>
        <v>100</v>
      </c>
      <c r="H22" s="6">
        <f>(DATA!S51/2)+(DATA!T51/2)</f>
        <v>100</v>
      </c>
      <c r="I22" s="6">
        <f>(DATA!T51/2)+(DATA!U51/2)</f>
        <v>100</v>
      </c>
      <c r="J22" s="6">
        <f>(DATA!U51/2)+(DATA!V51/2)</f>
        <v>100</v>
      </c>
      <c r="K22" s="6">
        <f>(DATA!V51/2)+(DATA!W51/2)</f>
        <v>100</v>
      </c>
      <c r="L22" s="6">
        <f>(DATA!W51/2)+(DATA!X51/2)</f>
        <v>100</v>
      </c>
      <c r="M22" s="6">
        <f>(DATA!X51/2)+(DATA!Y51/2)</f>
        <v>100</v>
      </c>
      <c r="N22" s="7">
        <f t="shared" si="2"/>
        <v>1200</v>
      </c>
    </row>
    <row r="23" spans="1:14" x14ac:dyDescent="0.25">
      <c r="A23" t="s">
        <v>154</v>
      </c>
      <c r="B23" s="6">
        <f>(DATA!M52/2)+(DATA!N52/2)</f>
        <v>416.67</v>
      </c>
      <c r="C23" s="6">
        <f>(DATA!N52/2)+(DATA!O52/2)</f>
        <v>416.67</v>
      </c>
      <c r="D23" s="6">
        <f>(DATA!O52/2)+(DATA!P52/2)</f>
        <v>416.67</v>
      </c>
      <c r="E23" s="6">
        <f>(DATA!P52/2)+(DATA!Q52/2)</f>
        <v>416.67</v>
      </c>
      <c r="F23" s="6">
        <f>(DATA!Q52/2)+(DATA!R52/2)</f>
        <v>416.67</v>
      </c>
      <c r="G23" s="6">
        <f>(DATA!R52/2)+(DATA!S52/2)</f>
        <v>416.67</v>
      </c>
      <c r="H23" s="6">
        <f>(DATA!S52/2)+(DATA!T52/2)</f>
        <v>416.67</v>
      </c>
      <c r="I23" s="6">
        <f>(DATA!T52/2)+(DATA!U52/2)</f>
        <v>416.67</v>
      </c>
      <c r="J23" s="6">
        <f>(DATA!U52/2)+(DATA!V52/2)</f>
        <v>416.67</v>
      </c>
      <c r="K23" s="6">
        <f>(DATA!V52/2)+(DATA!W52/2)</f>
        <v>416.67</v>
      </c>
      <c r="L23" s="6">
        <f>(DATA!W52/2)+(DATA!X52/2)</f>
        <v>416.67</v>
      </c>
      <c r="M23" s="6">
        <f>(DATA!X52/2)+(DATA!Y52/2)</f>
        <v>416.67</v>
      </c>
      <c r="N23" s="7">
        <f t="shared" si="2"/>
        <v>5000.04</v>
      </c>
    </row>
    <row r="24" spans="1:14" x14ac:dyDescent="0.25">
      <c r="A24" t="s">
        <v>155</v>
      </c>
      <c r="B24" s="6">
        <f>(DATA!M53/2)+(DATA!N53/2)</f>
        <v>250</v>
      </c>
      <c r="C24" s="6">
        <f>(DATA!N53/2)+(DATA!O53/2)</f>
        <v>250</v>
      </c>
      <c r="D24" s="6">
        <f>(DATA!O53/2)+(DATA!P53/2)</f>
        <v>250</v>
      </c>
      <c r="E24" s="6">
        <f>(DATA!P53/2)+(DATA!Q53/2)</f>
        <v>250</v>
      </c>
      <c r="F24" s="6">
        <f>(DATA!Q53/2)+(DATA!R53/2)</f>
        <v>250</v>
      </c>
      <c r="G24" s="6">
        <f>(DATA!R53/2)+(DATA!S53/2)</f>
        <v>250</v>
      </c>
      <c r="H24" s="6">
        <f>(DATA!S53/2)+(DATA!T53/2)</f>
        <v>250</v>
      </c>
      <c r="I24" s="6">
        <f>(DATA!T53/2)+(DATA!U53/2)</f>
        <v>250</v>
      </c>
      <c r="J24" s="6">
        <f>(DATA!U53/2)+(DATA!V53/2)</f>
        <v>250</v>
      </c>
      <c r="K24" s="6">
        <f>(DATA!V53/2)+(DATA!W53/2)</f>
        <v>250</v>
      </c>
      <c r="L24" s="6">
        <f>(DATA!W53/2)+(DATA!X53/2)</f>
        <v>250</v>
      </c>
      <c r="M24" s="6">
        <f>(DATA!X53/2)+(DATA!Y53/2)</f>
        <v>250</v>
      </c>
      <c r="N24" s="7">
        <f t="shared" si="2"/>
        <v>3000</v>
      </c>
    </row>
    <row r="25" spans="1:14" x14ac:dyDescent="0.25">
      <c r="A25" t="s">
        <v>156</v>
      </c>
      <c r="B25" s="6">
        <f>DATA!N54</f>
        <v>10000</v>
      </c>
      <c r="C25" s="6">
        <f>DATA!O54</f>
        <v>0</v>
      </c>
      <c r="D25" s="6">
        <f>DATA!P54</f>
        <v>0</v>
      </c>
      <c r="E25" s="6">
        <f>DATA!Q54</f>
        <v>0</v>
      </c>
      <c r="F25" s="6">
        <f>DATA!R54</f>
        <v>0</v>
      </c>
      <c r="G25" s="6">
        <f>DATA!S54</f>
        <v>0</v>
      </c>
      <c r="H25" s="6">
        <f>DATA!T54</f>
        <v>0</v>
      </c>
      <c r="I25" s="6">
        <f>DATA!U54</f>
        <v>0</v>
      </c>
      <c r="J25" s="6">
        <f>DATA!V54</f>
        <v>0</v>
      </c>
      <c r="K25" s="6">
        <f>DATA!W54</f>
        <v>0</v>
      </c>
      <c r="L25" s="6">
        <f>DATA!X54</f>
        <v>0</v>
      </c>
      <c r="M25" s="6">
        <f>DATA!Y54</f>
        <v>0</v>
      </c>
      <c r="N25" s="7">
        <f t="shared" si="2"/>
        <v>10000</v>
      </c>
    </row>
    <row r="26" spans="1:14" x14ac:dyDescent="0.25">
      <c r="A26" t="s">
        <v>56</v>
      </c>
      <c r="B26" s="6">
        <f>LoanModule!D21</f>
        <v>1937.9730951969868</v>
      </c>
      <c r="C26" s="6">
        <f>LoanModule!D22</f>
        <v>1903.5813291586683</v>
      </c>
      <c r="D26" s="6">
        <f>LoanModule!D23</f>
        <v>1868.9602846800944</v>
      </c>
      <c r="E26" s="6">
        <f>LoanModule!D24</f>
        <v>1834.1084332383298</v>
      </c>
      <c r="F26" s="6">
        <f>LoanModule!D25</f>
        <v>1799.0242361202866</v>
      </c>
      <c r="G26" s="6">
        <f>LoanModule!D26</f>
        <v>1763.70614435479</v>
      </c>
      <c r="H26" s="6">
        <f>LoanModule!D27</f>
        <v>1728.15259864419</v>
      </c>
      <c r="I26" s="6">
        <f>LoanModule!D28</f>
        <v>1692.3620292955193</v>
      </c>
      <c r="J26" s="6">
        <f>LoanModule!D29</f>
        <v>1656.3328561511908</v>
      </c>
      <c r="K26" s="6">
        <f>LoanModule!D30</f>
        <v>1620.0634885192337</v>
      </c>
      <c r="L26" s="6">
        <f>LoanModule!D31</f>
        <v>1583.5523251030629</v>
      </c>
      <c r="M26" s="6">
        <f>LoanModule!D32</f>
        <v>1546.7977539307849</v>
      </c>
      <c r="N26" s="7">
        <f t="shared" si="2"/>
        <v>20934.614574393141</v>
      </c>
    </row>
    <row r="27" spans="1:14" x14ac:dyDescent="0.25">
      <c r="A27" t="s">
        <v>72</v>
      </c>
      <c r="B27" s="6">
        <f>LoanModule!E21</f>
        <v>5158.7649057478011</v>
      </c>
      <c r="C27" s="6">
        <f>LoanModule!E22</f>
        <v>5193.1566717861197</v>
      </c>
      <c r="D27" s="6">
        <f>LoanModule!E23</f>
        <v>5227.7777162646935</v>
      </c>
      <c r="E27" s="6">
        <f>LoanModule!E24</f>
        <v>5262.6295677064581</v>
      </c>
      <c r="F27" s="6">
        <f>LoanModule!E25</f>
        <v>5297.7137648245016</v>
      </c>
      <c r="G27" s="6">
        <f>LoanModule!E26</f>
        <v>5333.0318565899979</v>
      </c>
      <c r="H27" s="6">
        <f>LoanModule!E27</f>
        <v>5368.5854023005977</v>
      </c>
      <c r="I27" s="6">
        <f>LoanModule!E28</f>
        <v>5404.3759716492686</v>
      </c>
      <c r="J27" s="6">
        <f>LoanModule!E29</f>
        <v>5440.4051447935972</v>
      </c>
      <c r="K27" s="6">
        <f>LoanModule!E30</f>
        <v>5476.674512425554</v>
      </c>
      <c r="L27" s="6">
        <f>LoanModule!E31</f>
        <v>5513.1856758417252</v>
      </c>
      <c r="M27" s="6">
        <f>LoanModule!E32</f>
        <v>5549.940247014003</v>
      </c>
      <c r="N27" s="7">
        <f t="shared" si="2"/>
        <v>64226.241436944329</v>
      </c>
    </row>
    <row r="28" spans="1:14" x14ac:dyDescent="0.25">
      <c r="A28" t="s">
        <v>16</v>
      </c>
      <c r="B28" s="6">
        <f>DATA!N40</f>
        <v>0</v>
      </c>
      <c r="C28" s="6">
        <f>DATA!O40</f>
        <v>0</v>
      </c>
      <c r="D28" s="6">
        <f>DATA!P40</f>
        <v>0</v>
      </c>
      <c r="E28" s="6">
        <f>DATA!Q40</f>
        <v>0</v>
      </c>
      <c r="F28" s="6">
        <f>DATA!R40</f>
        <v>0</v>
      </c>
      <c r="G28" s="6">
        <f>DATA!S40</f>
        <v>0</v>
      </c>
      <c r="H28" s="6">
        <f>DATA!T40</f>
        <v>0</v>
      </c>
      <c r="I28" s="6">
        <f>DATA!U40</f>
        <v>0</v>
      </c>
      <c r="J28" s="6">
        <f>DATA!V40</f>
        <v>0</v>
      </c>
      <c r="K28" s="6">
        <f>DATA!W40</f>
        <v>0</v>
      </c>
      <c r="L28" s="6">
        <f>DATA!X40</f>
        <v>0</v>
      </c>
      <c r="M28" s="6">
        <f>DATA!Y40</f>
        <v>0</v>
      </c>
      <c r="N28" s="7">
        <f t="shared" si="2"/>
        <v>0</v>
      </c>
    </row>
    <row r="29" spans="1:14" x14ac:dyDescent="0.25">
      <c r="A29" t="s">
        <v>73</v>
      </c>
      <c r="B29" s="6">
        <f>IF(DATA!E19=B5,DATA!B19,0)+IF(DATA!E22=B5,DATA!B22,0)</f>
        <v>0</v>
      </c>
      <c r="C29" s="6">
        <f>IF(DATA!E19=C5,DATA!B19,0)+IF(DATA!E22=C5,DATA!B22,0)</f>
        <v>0</v>
      </c>
      <c r="D29" s="6">
        <f>IF(DATA!E19=D5,DATA!B19,0)+IF(DATA!E22=D5,DATA!B22,0)</f>
        <v>0</v>
      </c>
      <c r="E29" s="6">
        <f>IF(DATA!E19=E5,DATA!B19,0)+IF(DATA!E22=E5,DATA!B22,0)</f>
        <v>0</v>
      </c>
      <c r="F29" s="6">
        <f>IF(DATA!E19=F5,DATA!B19,0)+IF(DATA!E22=F5,DATA!B22,0)</f>
        <v>0</v>
      </c>
      <c r="G29" s="6">
        <f>IF(DATA!E19=G5,DATA!B19,0)+IF(DATA!E22=G5,DATA!B22,0)</f>
        <v>0</v>
      </c>
      <c r="H29" s="6">
        <f>IF(DATA!E19=H5,DATA!B19,0)+IF(DATA!E22=H5,DATA!B22,0)</f>
        <v>0</v>
      </c>
      <c r="I29" s="6">
        <f>IF(DATA!E19=I5,DATA!B19,0)+IF(DATA!E22=I5,DATA!B22,0)</f>
        <v>0</v>
      </c>
      <c r="J29" s="6">
        <f>IF(DATA!E19=J5,DATA!B19,0)+IF(DATA!E22=J5,DATA!B22,0)</f>
        <v>0</v>
      </c>
      <c r="K29" s="6">
        <f>IF(DATA!E19=K5,DATA!B19,0)+IF(DATA!E22=K5,DATA!B22,0)</f>
        <v>0</v>
      </c>
      <c r="L29" s="6">
        <f>IF(DATA!E19=L5,DATA!B19,0)+IF(DATA!E22=L5,DATA!B22,0)</f>
        <v>0</v>
      </c>
      <c r="M29" s="6">
        <f>IF(DATA!E19=M5,DATA!B19,0)+IF(DATA!E22=M5,DATA!B22,0)</f>
        <v>0</v>
      </c>
      <c r="N29" s="7">
        <f t="shared" si="2"/>
        <v>0</v>
      </c>
    </row>
    <row r="30" spans="1:14" x14ac:dyDescent="0.25">
      <c r="A30" t="s">
        <v>74</v>
      </c>
      <c r="B30" s="6">
        <f>((DATA!B56*DATA!M61)/2)+((DATA!B56*DATA!N61)/2)</f>
        <v>0</v>
      </c>
      <c r="C30" s="6">
        <f>((DATA!B56*DATA!N61)/2)+((DATA!B56*DATA!O61)/2)</f>
        <v>0</v>
      </c>
      <c r="D30" s="6">
        <f>((DATA!B56*DATA!O61)/2)+((DATA!B56*DATA!P61)/2)</f>
        <v>0</v>
      </c>
      <c r="E30" s="6">
        <f>((DATA!B56*DATA!P61)/2)+((DATA!B56*DATA!Q61)/2)</f>
        <v>0</v>
      </c>
      <c r="F30" s="6">
        <f>((DATA!B56*DATA!Q61)/2)+((DATA!B56*DATA!R61)/2)</f>
        <v>0</v>
      </c>
      <c r="G30" s="6">
        <f>((DATA!B56*DATA!R61)/2)+((DATA!B56*DATA!S61)/2)</f>
        <v>0</v>
      </c>
      <c r="H30" s="6">
        <f>((DATA!B56*DATA!S61)/2)+((DATA!B56*DATA!T61)/2)</f>
        <v>0</v>
      </c>
      <c r="I30" s="6">
        <f>((DATA!B56*DATA!T61)/2)+((DATA!B56*DATA!U61)/2)</f>
        <v>0</v>
      </c>
      <c r="J30" s="6">
        <f>((DATA!B56*DATA!U61)/2)+((DATA!B56*DATA!V61)/2)</f>
        <v>0</v>
      </c>
      <c r="K30" s="6">
        <f>((DATA!B56*DATA!V61)/2)+((DATA!B56*DATA!W61)/2)</f>
        <v>0</v>
      </c>
      <c r="L30" s="6">
        <f>((DATA!B56*DATA!W61)/2)+((DATA!B56*DATA!X61)/2)</f>
        <v>0</v>
      </c>
      <c r="M30" s="6">
        <f>((DATA!B56*DATA!X61)/2)+((DATA!B56*DATA!Y61)/2)</f>
        <v>0</v>
      </c>
      <c r="N30" s="7">
        <f t="shared" si="2"/>
        <v>0</v>
      </c>
    </row>
    <row r="31" spans="1:14" x14ac:dyDescent="0.25">
      <c r="A31" t="s">
        <v>61</v>
      </c>
      <c r="B31" s="6">
        <f>IncomeStatement_Year2!B35</f>
        <v>1721.3358983469288</v>
      </c>
      <c r="C31" s="6">
        <f>IncomeStatement_Year2!C35</f>
        <v>1721.3358983469288</v>
      </c>
      <c r="D31" s="6">
        <f>IncomeStatement_Year2!D35</f>
        <v>1721.3358983469288</v>
      </c>
      <c r="E31" s="6">
        <f>IncomeStatement_Year2!E35</f>
        <v>1721.3358983469288</v>
      </c>
      <c r="F31" s="6">
        <f>IncomeStatement_Year2!F35</f>
        <v>1721.3358983469288</v>
      </c>
      <c r="G31" s="6">
        <f>IncomeStatement_Year2!G35</f>
        <v>1721.3358983469288</v>
      </c>
      <c r="H31" s="6">
        <f>IncomeStatement_Year2!H35</f>
        <v>1721.3358983469288</v>
      </c>
      <c r="I31" s="6">
        <f>IncomeStatement_Year2!I35</f>
        <v>1721.3358983469288</v>
      </c>
      <c r="J31" s="6">
        <f>IncomeStatement_Year2!J35</f>
        <v>1721.3358983469288</v>
      </c>
      <c r="K31" s="6">
        <f>IncomeStatement_Year2!K35</f>
        <v>1721.3358983469288</v>
      </c>
      <c r="L31" s="6">
        <f>IncomeStatement_Year2!L35</f>
        <v>1721.3358983469288</v>
      </c>
      <c r="M31" s="6">
        <f>IncomeStatement_Year2!M35</f>
        <v>1721.3358983469288</v>
      </c>
      <c r="N31" s="7">
        <f t="shared" si="2"/>
        <v>20656.030780163153</v>
      </c>
    </row>
    <row r="32" spans="1:14" hidden="1" x14ac:dyDescent="0.25">
      <c r="A32" t="s">
        <v>75</v>
      </c>
      <c r="B32" s="6">
        <f>IncomeStatement_Year1!M10*DATA!B3-IncomeStatement_Year2!B10*DATA!B3</f>
        <v>0</v>
      </c>
      <c r="C32" s="6">
        <f>IncomeStatement_Year2!B10*DATA!B3-IncomeStatement_Year2!C10*DATA!B3</f>
        <v>0</v>
      </c>
      <c r="D32" s="6">
        <f>IncomeStatement_Year2!C10*DATA!B3-IncomeStatement_Year2!D10*DATA!B3</f>
        <v>0</v>
      </c>
      <c r="E32" s="6">
        <f>IncomeStatement_Year2!D10*DATA!B3-IncomeStatement_Year2!E10*DATA!B3</f>
        <v>0</v>
      </c>
      <c r="F32" s="6">
        <f>IncomeStatement_Year2!E10*DATA!B3-IncomeStatement_Year2!F10*DATA!B3</f>
        <v>0</v>
      </c>
      <c r="G32" s="6">
        <f>IncomeStatement_Year2!F10*DATA!B3-IncomeStatement_Year2!G10*DATA!B3</f>
        <v>0</v>
      </c>
      <c r="H32" s="6">
        <f>IncomeStatement_Year2!G10*DATA!B3-IncomeStatement_Year2!H10*DATA!B3</f>
        <v>0</v>
      </c>
      <c r="I32" s="6">
        <f>IncomeStatement_Year2!H10*DATA!B3-IncomeStatement_Year2!I10*DATA!B3</f>
        <v>0</v>
      </c>
      <c r="J32" s="6">
        <f>IncomeStatement_Year2!I10*DATA!B3-IncomeStatement_Year2!J10*DATA!B3</f>
        <v>0</v>
      </c>
      <c r="K32" s="6">
        <f>IncomeStatement_Year2!J10*DATA!B3-IncomeStatement_Year2!K10*DATA!B3</f>
        <v>0</v>
      </c>
      <c r="L32" s="6">
        <f>IncomeStatement_Year2!K10*DATA!B3-IncomeStatement_Year2!L10*DATA!B3</f>
        <v>0</v>
      </c>
      <c r="M32" s="6">
        <f>IncomeStatement_Year2!L10*DATA!B3-IncomeStatement_Year2!M10*DATA!B3</f>
        <v>0</v>
      </c>
      <c r="N32" s="7">
        <f t="shared" si="2"/>
        <v>0</v>
      </c>
    </row>
    <row r="33" spans="1:14" x14ac:dyDescent="0.25">
      <c r="A33" s="4" t="s">
        <v>76</v>
      </c>
      <c r="B33" s="9">
        <f t="shared" ref="B33:M33" si="3">SUM(B15:B31)-B32</f>
        <v>44228.847546885816</v>
      </c>
      <c r="C33" s="9">
        <f t="shared" si="3"/>
        <v>34305.085579082741</v>
      </c>
      <c r="D33" s="9">
        <f t="shared" si="3"/>
        <v>34321.15282373091</v>
      </c>
      <c r="E33" s="9">
        <f t="shared" si="3"/>
        <v>34337.711458927974</v>
      </c>
      <c r="F33" s="9">
        <f t="shared" si="3"/>
        <v>34354.760395060875</v>
      </c>
      <c r="G33" s="9">
        <f t="shared" si="3"/>
        <v>34372.298584592441</v>
      </c>
      <c r="H33" s="9">
        <f t="shared" si="3"/>
        <v>34390.325021932164</v>
      </c>
      <c r="I33" s="9">
        <f t="shared" si="3"/>
        <v>34408.838743311258</v>
      </c>
      <c r="J33" s="9">
        <f t="shared" si="3"/>
        <v>34427.838826661769</v>
      </c>
      <c r="K33" s="9">
        <f t="shared" si="3"/>
        <v>34447.324391499867</v>
      </c>
      <c r="L33" s="9">
        <f t="shared" si="3"/>
        <v>34467.294598813198</v>
      </c>
      <c r="M33" s="9">
        <f t="shared" si="3"/>
        <v>34487.748650952344</v>
      </c>
      <c r="N33" s="9">
        <f t="shared" si="2"/>
        <v>422549.22662145132</v>
      </c>
    </row>
    <row r="35" spans="1:14" x14ac:dyDescent="0.25">
      <c r="A35" s="4" t="s">
        <v>77</v>
      </c>
      <c r="B35" s="10">
        <f t="shared" ref="B35:M35" si="4">B12-B33</f>
        <v>-2438.303732405453</v>
      </c>
      <c r="C35" s="10">
        <f t="shared" si="4"/>
        <v>7569.0811135703916</v>
      </c>
      <c r="D35" s="10">
        <f t="shared" si="4"/>
        <v>7636.8040764742109</v>
      </c>
      <c r="E35" s="10">
        <f t="shared" si="4"/>
        <v>7704.2033130344498</v>
      </c>
      <c r="F35" s="10">
        <f t="shared" si="4"/>
        <v>7771.2802483602281</v>
      </c>
      <c r="G35" s="10">
        <f t="shared" si="4"/>
        <v>7838.0362661561376</v>
      </c>
      <c r="H35" s="10">
        <f t="shared" si="4"/>
        <v>7904.4727088527507</v>
      </c>
      <c r="I35" s="10">
        <f t="shared" si="4"/>
        <v>7970.590877732946</v>
      </c>
      <c r="J35" s="10">
        <f t="shared" si="4"/>
        <v>8036.3920330541441</v>
      </c>
      <c r="K35" s="10">
        <f t="shared" si="4"/>
        <v>8101.8773941663239</v>
      </c>
      <c r="L35" s="10">
        <f t="shared" si="4"/>
        <v>8167.0481396261021</v>
      </c>
      <c r="M35" s="10">
        <f t="shared" si="4"/>
        <v>8231.9054073065636</v>
      </c>
      <c r="N35" s="10">
        <f>SUM(B35:M35)</f>
        <v>84493.387845928795</v>
      </c>
    </row>
    <row r="37" spans="1:14" x14ac:dyDescent="0.25">
      <c r="A37" s="4" t="s">
        <v>78</v>
      </c>
      <c r="B37" s="7">
        <f>B35</f>
        <v>-2438.303732405453</v>
      </c>
      <c r="C37" s="7">
        <f t="shared" ref="C37:M37" si="5">B37+C35</f>
        <v>5130.7773811649386</v>
      </c>
      <c r="D37" s="7">
        <f t="shared" si="5"/>
        <v>12767.581457639149</v>
      </c>
      <c r="E37" s="7">
        <f t="shared" si="5"/>
        <v>20471.784770673599</v>
      </c>
      <c r="F37" s="7">
        <f t="shared" si="5"/>
        <v>28243.065019033827</v>
      </c>
      <c r="G37" s="7">
        <f t="shared" si="5"/>
        <v>36081.101285189965</v>
      </c>
      <c r="H37" s="7">
        <f t="shared" si="5"/>
        <v>43985.573994042716</v>
      </c>
      <c r="I37" s="7">
        <f t="shared" si="5"/>
        <v>51956.164871775662</v>
      </c>
      <c r="J37" s="7">
        <f t="shared" si="5"/>
        <v>59992.556904829806</v>
      </c>
      <c r="K37" s="7">
        <f t="shared" si="5"/>
        <v>68094.43429899613</v>
      </c>
      <c r="L37" s="7">
        <f t="shared" si="5"/>
        <v>76261.482438622232</v>
      </c>
      <c r="M37" s="7">
        <f t="shared" si="5"/>
        <v>84493.387845928795</v>
      </c>
      <c r="N37" s="7">
        <f>M37</f>
        <v>84493.387845928795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32" sqref="A32:XFD32"/>
    </sheetView>
  </sheetViews>
  <sheetFormatPr defaultColWidth="8.85546875" defaultRowHeight="15" x14ac:dyDescent="0.25"/>
  <cols>
    <col min="1" max="1" width="29.4257812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66</v>
      </c>
    </row>
    <row r="3" spans="1:14" x14ac:dyDescent="0.25">
      <c r="A3" t="s">
        <v>65</v>
      </c>
    </row>
    <row r="5" spans="1:14" x14ac:dyDescent="0.25"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65</v>
      </c>
    </row>
    <row r="7" spans="1:14" x14ac:dyDescent="0.25">
      <c r="A7" s="4" t="s">
        <v>67</v>
      </c>
      <c r="B7" s="6">
        <f>CashFlowStatement_Year2!M7+CashFlowStatement_Year2!M35</f>
        <v>125117.23326053016</v>
      </c>
      <c r="C7" s="6">
        <f t="shared" ref="C7:M7" si="0">B7+B35</f>
        <v>123188.36270441006</v>
      </c>
      <c r="D7" s="6">
        <f t="shared" si="0"/>
        <v>131262.20757305966</v>
      </c>
      <c r="E7" s="6">
        <f t="shared" si="0"/>
        <v>139399.85272319679</v>
      </c>
      <c r="F7" s="6">
        <f t="shared" si="0"/>
        <v>147600.98870077942</v>
      </c>
      <c r="G7" s="6">
        <f t="shared" si="0"/>
        <v>155865.30698760372</v>
      </c>
      <c r="H7" s="6">
        <f t="shared" si="0"/>
        <v>164192.49996119441</v>
      </c>
      <c r="I7" s="6">
        <f t="shared" si="0"/>
        <v>172582.26085477648</v>
      </c>
      <c r="J7" s="6">
        <f t="shared" si="0"/>
        <v>181034.28371732452</v>
      </c>
      <c r="K7" s="6">
        <f t="shared" si="0"/>
        <v>189548.26337368556</v>
      </c>
      <c r="L7" s="6">
        <f t="shared" si="0"/>
        <v>198123.89538477123</v>
      </c>
      <c r="M7" s="6">
        <f t="shared" si="0"/>
        <v>206760.87600781571</v>
      </c>
      <c r="N7" s="7">
        <f>M7</f>
        <v>206760.87600781571</v>
      </c>
    </row>
    <row r="9" spans="1:14" x14ac:dyDescent="0.25">
      <c r="A9" s="4" t="s">
        <v>68</v>
      </c>
    </row>
    <row r="10" spans="1:14" x14ac:dyDescent="0.25">
      <c r="A10" t="s">
        <v>25</v>
      </c>
      <c r="B10" s="6">
        <f>DATA!Z67</f>
        <v>42805.136086029481</v>
      </c>
      <c r="C10" s="6">
        <f>DATA!AA67</f>
        <v>42890.78916333762</v>
      </c>
      <c r="D10" s="6">
        <f>DATA!AB67</f>
        <v>42976.613632453453</v>
      </c>
      <c r="E10" s="6">
        <f>DATA!AC67</f>
        <v>43062.609836331991</v>
      </c>
      <c r="F10" s="6">
        <f>DATA!AD67</f>
        <v>43148.778118614478</v>
      </c>
      <c r="G10" s="6">
        <f>DATA!AE67</f>
        <v>43235.118823629819</v>
      </c>
      <c r="H10" s="6">
        <f>DATA!AF67</f>
        <v>43321.632296395896</v>
      </c>
      <c r="I10" s="6">
        <f>DATA!AG67</f>
        <v>43408.318882620966</v>
      </c>
      <c r="J10" s="6">
        <f>DATA!AH67</f>
        <v>43495.178928705085</v>
      </c>
      <c r="K10" s="6">
        <f>DATA!AI67</f>
        <v>43582.212781741415</v>
      </c>
      <c r="L10" s="6">
        <f>DATA!AJ67</f>
        <v>43669.420789517666</v>
      </c>
      <c r="M10" s="6">
        <f>DATA!AK67</f>
        <v>43756.80330051748</v>
      </c>
      <c r="N10" s="7">
        <f>SUM(B10:M10)</f>
        <v>519352.61263989541</v>
      </c>
    </row>
    <row r="11" spans="1:14" x14ac:dyDescent="0.25">
      <c r="A11" t="s">
        <v>45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69</v>
      </c>
      <c r="B12" s="9">
        <f t="shared" ref="B12:M12" si="1">SUM(B10:B11)</f>
        <v>42805.136086029481</v>
      </c>
      <c r="C12" s="9">
        <f t="shared" si="1"/>
        <v>42890.78916333762</v>
      </c>
      <c r="D12" s="9">
        <f t="shared" si="1"/>
        <v>42976.613632453453</v>
      </c>
      <c r="E12" s="9">
        <f t="shared" si="1"/>
        <v>43062.609836331991</v>
      </c>
      <c r="F12" s="9">
        <f t="shared" si="1"/>
        <v>43148.778118614478</v>
      </c>
      <c r="G12" s="9">
        <f t="shared" si="1"/>
        <v>43235.118823629819</v>
      </c>
      <c r="H12" s="9">
        <f t="shared" si="1"/>
        <v>43321.632296395896</v>
      </c>
      <c r="I12" s="9">
        <f t="shared" si="1"/>
        <v>43408.318882620966</v>
      </c>
      <c r="J12" s="9">
        <f t="shared" si="1"/>
        <v>43495.178928705085</v>
      </c>
      <c r="K12" s="9">
        <f t="shared" si="1"/>
        <v>43582.212781741415</v>
      </c>
      <c r="L12" s="9">
        <f t="shared" si="1"/>
        <v>43669.420789517666</v>
      </c>
      <c r="M12" s="9">
        <f t="shared" si="1"/>
        <v>43756.80330051748</v>
      </c>
      <c r="N12" s="9">
        <f>SUM(B12:M12)</f>
        <v>519352.61263989541</v>
      </c>
    </row>
    <row r="14" spans="1:14" x14ac:dyDescent="0.25">
      <c r="A14" s="4" t="s">
        <v>70</v>
      </c>
    </row>
    <row r="15" spans="1:14" x14ac:dyDescent="0.25">
      <c r="A15" t="s">
        <v>158</v>
      </c>
      <c r="B15" s="6">
        <f>(DATA!Y62/2)+(DATA!Z62/2)</f>
        <v>8240.894923781485</v>
      </c>
      <c r="C15" s="6">
        <f>(DATA!Z62/2)+(DATA!AA62/2)</f>
        <v>8265.6506051290999</v>
      </c>
      <c r="D15" s="6">
        <f>(DATA!AA62/2)+(DATA!AB62/2)</f>
        <v>8290.4806526426037</v>
      </c>
      <c r="E15" s="6">
        <f>(DATA!AB62/2)+(DATA!AC62/2)</f>
        <v>8315.3852897182587</v>
      </c>
      <c r="F15" s="6">
        <f>(DATA!AC62/2)+(DATA!AD62/2)</f>
        <v>8340.3647404234052</v>
      </c>
      <c r="G15" s="6">
        <f>(DATA!AD62/2)+(DATA!AE62/2)</f>
        <v>8365.4192294984896</v>
      </c>
      <c r="H15" s="6">
        <f>(DATA!AE62/2)+(DATA!AF62/2)</f>
        <v>8390.5489823590724</v>
      </c>
      <c r="I15" s="6">
        <f>(DATA!AF62/2)+(DATA!AG62/2)</f>
        <v>8415.7542250978695</v>
      </c>
      <c r="J15" s="6">
        <f>(DATA!AG62/2)+(DATA!AH62/2)</f>
        <v>8441.0351844867746</v>
      </c>
      <c r="K15" s="6">
        <f>(DATA!AH62/2)+(DATA!AI62/2)</f>
        <v>8466.3920879789111</v>
      </c>
      <c r="L15" s="6">
        <f>(DATA!AI62/2)+(DATA!AJ62/2)</f>
        <v>8491.8251637106659</v>
      </c>
      <c r="M15" s="6">
        <f>(DATA!AJ62/2)+(DATA!AK62/2)</f>
        <v>8517.3346405037519</v>
      </c>
      <c r="N15" s="7">
        <f t="shared" ref="N15:N33" si="2">SUM(B15:M15)</f>
        <v>100541.08572533037</v>
      </c>
    </row>
    <row r="16" spans="1:14" x14ac:dyDescent="0.25">
      <c r="A16" t="s">
        <v>71</v>
      </c>
      <c r="B16" s="6">
        <f>(DATA!Y63/2)+(DATA!Z63/2)</f>
        <v>5344.0913436381679</v>
      </c>
      <c r="C16" s="6">
        <f>(DATA!Z63/2)+(DATA!AA63/2)</f>
        <v>5410.8921170619242</v>
      </c>
      <c r="D16" s="6">
        <f>(DATA!AA63/2)+(DATA!AB63/2)</f>
        <v>5416.303009178986</v>
      </c>
      <c r="E16" s="6">
        <f>(DATA!AB63/2)+(DATA!AC63/2)</f>
        <v>5421.7193121881646</v>
      </c>
      <c r="F16" s="6">
        <f>(DATA!AC63/2)+(DATA!AD63/2)</f>
        <v>5427.1410315003523</v>
      </c>
      <c r="G16" s="6">
        <f>(DATA!AD63/2)+(DATA!AE63/2)</f>
        <v>5432.5681725318518</v>
      </c>
      <c r="H16" s="6">
        <f>(DATA!AE63/2)+(DATA!AF63/2)</f>
        <v>5438.0007407043831</v>
      </c>
      <c r="I16" s="6">
        <f>(DATA!AF63/2)+(DATA!AG63/2)</f>
        <v>5443.4387414450866</v>
      </c>
      <c r="J16" s="6">
        <f>(DATA!AG63/2)+(DATA!AH63/2)</f>
        <v>5448.8821801865306</v>
      </c>
      <c r="K16" s="6">
        <f>(DATA!AH63/2)+(DATA!AI63/2)</f>
        <v>5454.3310623667167</v>
      </c>
      <c r="L16" s="6">
        <f>(DATA!AI63/2)+(DATA!AJ63/2)</f>
        <v>5459.7853934290833</v>
      </c>
      <c r="M16" s="6">
        <f>(DATA!AJ63/2)+(DATA!AK63/2)</f>
        <v>5465.2451788225117</v>
      </c>
      <c r="N16" s="7">
        <f t="shared" si="2"/>
        <v>65162.398283053757</v>
      </c>
    </row>
    <row r="17" spans="1:14" x14ac:dyDescent="0.25">
      <c r="A17" t="s">
        <v>18</v>
      </c>
      <c r="B17" s="6">
        <f>(DATA!Y44/2)+(DATA!Z44/2)</f>
        <v>2441.1912650949389</v>
      </c>
      <c r="C17" s="6">
        <f>(DATA!Z44/2)+(DATA!AA44/2)</f>
        <v>2416.7793524439894</v>
      </c>
      <c r="D17" s="6">
        <f>(DATA!AA44/2)+(DATA!AB44/2)</f>
        <v>2392.6115589195497</v>
      </c>
      <c r="E17" s="6">
        <f>(DATA!AB44/2)+(DATA!AC44/2)</f>
        <v>2368.6854433303542</v>
      </c>
      <c r="F17" s="6">
        <f>(DATA!AC44/2)+(DATA!AD44/2)</f>
        <v>2344.9985888970505</v>
      </c>
      <c r="G17" s="6">
        <f>(DATA!AD44/2)+(DATA!AE44/2)</f>
        <v>2321.5486030080801</v>
      </c>
      <c r="H17" s="6">
        <f>(DATA!AE44/2)+(DATA!AF44/2)</f>
        <v>2298.3331169779995</v>
      </c>
      <c r="I17" s="6">
        <f>(DATA!AF44/2)+(DATA!AG44/2)</f>
        <v>2275.3497858082192</v>
      </c>
      <c r="J17" s="6">
        <f>(DATA!AG44/2)+(DATA!AH44/2)</f>
        <v>2252.5962879501376</v>
      </c>
      <c r="K17" s="6">
        <f>(DATA!AH44/2)+(DATA!AI44/2)</f>
        <v>2230.070325070636</v>
      </c>
      <c r="L17" s="6">
        <f>(DATA!AI44/2)+(DATA!AJ44/2)</f>
        <v>2207.7696218199299</v>
      </c>
      <c r="M17" s="6">
        <f>(DATA!AJ44/2)+(DATA!AK44/2)</f>
        <v>2185.6919256017304</v>
      </c>
      <c r="N17" s="7">
        <f t="shared" si="2"/>
        <v>27735.625874922618</v>
      </c>
    </row>
    <row r="18" spans="1:14" x14ac:dyDescent="0.25">
      <c r="A18" t="s">
        <v>152</v>
      </c>
      <c r="B18" s="6">
        <f>(DATA!Y46/2)+(DATA!Z46/2)</f>
        <v>240</v>
      </c>
      <c r="C18" s="6">
        <f>(DATA!Z46/2)+(DATA!AA46/2)</f>
        <v>240</v>
      </c>
      <c r="D18" s="6">
        <f>(DATA!AA46/2)+(DATA!AB46/2)</f>
        <v>240</v>
      </c>
      <c r="E18" s="6">
        <f>(DATA!AB46/2)+(DATA!AC46/2)</f>
        <v>240</v>
      </c>
      <c r="F18" s="6">
        <f>(DATA!AC46/2)+(DATA!AD46/2)</f>
        <v>240</v>
      </c>
      <c r="G18" s="6">
        <f>(DATA!AD46/2)+(DATA!AE46/2)</f>
        <v>240</v>
      </c>
      <c r="H18" s="6">
        <f>(DATA!AE46/2)+(DATA!AF46/2)</f>
        <v>240</v>
      </c>
      <c r="I18" s="6">
        <f>(DATA!AF46/2)+(DATA!AG46/2)</f>
        <v>240</v>
      </c>
      <c r="J18" s="6">
        <f>(DATA!AG46/2)+(DATA!AH46/2)</f>
        <v>240</v>
      </c>
      <c r="K18" s="6">
        <f>(DATA!AH46/2)+(DATA!AI46/2)</f>
        <v>240</v>
      </c>
      <c r="L18" s="6">
        <f>(DATA!AI46/2)+(DATA!AJ46/2)</f>
        <v>240</v>
      </c>
      <c r="M18" s="6">
        <f>(DATA!AJ46/2)+(DATA!AK46/2)</f>
        <v>240</v>
      </c>
      <c r="N18" s="7">
        <f t="shared" si="2"/>
        <v>2880</v>
      </c>
    </row>
    <row r="19" spans="1:14" x14ac:dyDescent="0.25">
      <c r="A19" t="s">
        <v>148</v>
      </c>
      <c r="B19" s="6">
        <f>(DATA!Y47/2)+(DATA!Z47/2)</f>
        <v>200</v>
      </c>
      <c r="C19" s="6">
        <f>(DATA!Z47/2)+(DATA!AA47/2)</f>
        <v>200</v>
      </c>
      <c r="D19" s="6">
        <f>(DATA!AA47/2)+(DATA!AB47/2)</f>
        <v>200</v>
      </c>
      <c r="E19" s="6">
        <f>(DATA!AB47/2)+(DATA!AC47/2)</f>
        <v>200</v>
      </c>
      <c r="F19" s="6">
        <f>(DATA!AC47/2)+(DATA!AD47/2)</f>
        <v>200</v>
      </c>
      <c r="G19" s="6">
        <f>(DATA!AD47/2)+(DATA!AE47/2)</f>
        <v>200</v>
      </c>
      <c r="H19" s="6">
        <f>(DATA!AE47/2)+(DATA!AF47/2)</f>
        <v>200</v>
      </c>
      <c r="I19" s="6">
        <f>(DATA!AF47/2)+(DATA!AG47/2)</f>
        <v>200</v>
      </c>
      <c r="J19" s="6">
        <f>(DATA!AG47/2)+(DATA!AH47/2)</f>
        <v>200</v>
      </c>
      <c r="K19" s="6">
        <f>(DATA!AH47/2)+(DATA!AI47/2)</f>
        <v>200</v>
      </c>
      <c r="L19" s="6">
        <f>(DATA!AI47/2)+(DATA!AJ47/2)</f>
        <v>200</v>
      </c>
      <c r="M19" s="6">
        <f>(DATA!AJ47/2)+(DATA!AK47/2)</f>
        <v>200</v>
      </c>
      <c r="N19" s="7">
        <f t="shared" si="2"/>
        <v>2400</v>
      </c>
    </row>
    <row r="20" spans="1:14" x14ac:dyDescent="0.25">
      <c r="A20" t="s">
        <v>149</v>
      </c>
      <c r="B20" s="6">
        <f>(DATA!Y48/2)+(DATA!Z48/2)</f>
        <v>1579.3110418002159</v>
      </c>
      <c r="C20" s="6">
        <f>(DATA!Z48/2)+(DATA!AA48/2)</f>
        <v>1595.1041522182181</v>
      </c>
      <c r="D20" s="6">
        <f>(DATA!AA48/2)+(DATA!AB48/2)</f>
        <v>1611.0551937404002</v>
      </c>
      <c r="E20" s="6">
        <f>(DATA!AB48/2)+(DATA!AC48/2)</f>
        <v>1627.1657456778044</v>
      </c>
      <c r="F20" s="6">
        <f>(DATA!AC48/2)+(DATA!AD48/2)</f>
        <v>1643.4374031345824</v>
      </c>
      <c r="G20" s="6">
        <f>(DATA!AD48/2)+(DATA!AE48/2)</f>
        <v>1659.8717771659281</v>
      </c>
      <c r="H20" s="6">
        <f>(DATA!AE48/2)+(DATA!AF48/2)</f>
        <v>1676.4704949375873</v>
      </c>
      <c r="I20" s="6">
        <f>(DATA!AF48/2)+(DATA!AG48/2)</f>
        <v>1693.2351998869633</v>
      </c>
      <c r="J20" s="6">
        <f>(DATA!AG48/2)+(DATA!AH48/2)</f>
        <v>1710.1675518858328</v>
      </c>
      <c r="K20" s="6">
        <f>(DATA!AH48/2)+(DATA!AI48/2)</f>
        <v>1727.2692274046913</v>
      </c>
      <c r="L20" s="6">
        <f>(DATA!AI48/2)+(DATA!AJ48/2)</f>
        <v>1744.5419196787382</v>
      </c>
      <c r="M20" s="6">
        <f>(DATA!AJ48/2)+(DATA!AK48/2)</f>
        <v>1761.9873388755254</v>
      </c>
      <c r="N20" s="7">
        <f t="shared" si="2"/>
        <v>20029.617046406485</v>
      </c>
    </row>
    <row r="21" spans="1:14" x14ac:dyDescent="0.25">
      <c r="A21" t="s">
        <v>146</v>
      </c>
      <c r="B21" s="6">
        <f>(DATA!Y50/2)+(DATA!Z50/2)</f>
        <v>6939.91</v>
      </c>
      <c r="C21" s="6">
        <f>(DATA!Z50/2)+(DATA!AA50/2)</f>
        <v>6939.91</v>
      </c>
      <c r="D21" s="6">
        <f>(DATA!AA50/2)+(DATA!AB50/2)</f>
        <v>6939.91</v>
      </c>
      <c r="E21" s="6">
        <f>(DATA!AB50/2)+(DATA!AC50/2)</f>
        <v>6939.91</v>
      </c>
      <c r="F21" s="6">
        <f>(DATA!AC50/2)+(DATA!AD50/2)</f>
        <v>6939.91</v>
      </c>
      <c r="G21" s="6">
        <f>(DATA!AD50/2)+(DATA!AE50/2)</f>
        <v>6939.91</v>
      </c>
      <c r="H21" s="6">
        <f>(DATA!AE50/2)+(DATA!AF50/2)</f>
        <v>6939.91</v>
      </c>
      <c r="I21" s="6">
        <f>(DATA!AF50/2)+(DATA!AG50/2)</f>
        <v>6939.91</v>
      </c>
      <c r="J21" s="6">
        <f>(DATA!AG50/2)+(DATA!AH50/2)</f>
        <v>6939.91</v>
      </c>
      <c r="K21" s="6">
        <f>(DATA!AH50/2)+(DATA!AI50/2)</f>
        <v>6939.91</v>
      </c>
      <c r="L21" s="6">
        <f>(DATA!AI50/2)+(DATA!AJ50/2)</f>
        <v>6939.91</v>
      </c>
      <c r="M21" s="6">
        <f>(DATA!AJ50/2)+(DATA!AK50/2)</f>
        <v>6939.91</v>
      </c>
      <c r="N21" s="7">
        <f t="shared" si="2"/>
        <v>83278.920000000027</v>
      </c>
    </row>
    <row r="22" spans="1:14" x14ac:dyDescent="0.25">
      <c r="A22" t="s">
        <v>153</v>
      </c>
      <c r="B22" s="6">
        <f>(DATA!Y51/2)+(DATA!Z51/2)</f>
        <v>100</v>
      </c>
      <c r="C22" s="6">
        <f>(DATA!Z51/2)+(DATA!AA51/2)</f>
        <v>100</v>
      </c>
      <c r="D22" s="6">
        <f>(DATA!AA51/2)+(DATA!AB51/2)</f>
        <v>100</v>
      </c>
      <c r="E22" s="6">
        <f>(DATA!AB51/2)+(DATA!AC51/2)</f>
        <v>100</v>
      </c>
      <c r="F22" s="6">
        <f>(DATA!AC51/2)+(DATA!AD51/2)</f>
        <v>100</v>
      </c>
      <c r="G22" s="6">
        <f>(DATA!AD51/2)+(DATA!AE51/2)</f>
        <v>100</v>
      </c>
      <c r="H22" s="6">
        <f>(DATA!AE51/2)+(DATA!AF51/2)</f>
        <v>100</v>
      </c>
      <c r="I22" s="6">
        <f>(DATA!AF51/2)+(DATA!AG51/2)</f>
        <v>100</v>
      </c>
      <c r="J22" s="6">
        <f>(DATA!AG51/2)+(DATA!AH51/2)</f>
        <v>100</v>
      </c>
      <c r="K22" s="6">
        <f>(DATA!AH51/2)+(DATA!AI51/2)</f>
        <v>100</v>
      </c>
      <c r="L22" s="6">
        <f>(DATA!AI51/2)+(DATA!AJ51/2)</f>
        <v>100</v>
      </c>
      <c r="M22" s="6">
        <f>(DATA!AJ51/2)+(DATA!AK51/2)</f>
        <v>100</v>
      </c>
      <c r="N22" s="7">
        <f t="shared" si="2"/>
        <v>1200</v>
      </c>
    </row>
    <row r="23" spans="1:14" x14ac:dyDescent="0.25">
      <c r="A23" t="s">
        <v>154</v>
      </c>
      <c r="B23" s="6">
        <f>(DATA!Y52/2)+(DATA!Z52/2)</f>
        <v>416.67</v>
      </c>
      <c r="C23" s="6">
        <f>(DATA!Z52/2)+(DATA!AA52/2)</f>
        <v>416.67</v>
      </c>
      <c r="D23" s="6">
        <f>(DATA!AA52/2)+(DATA!AB52/2)</f>
        <v>416.67</v>
      </c>
      <c r="E23" s="6">
        <f>(DATA!AB52/2)+(DATA!AC52/2)</f>
        <v>416.67</v>
      </c>
      <c r="F23" s="6">
        <f>(DATA!AC52/2)+(DATA!AD52/2)</f>
        <v>416.67</v>
      </c>
      <c r="G23" s="6">
        <f>(DATA!AD52/2)+(DATA!AE52/2)</f>
        <v>416.67</v>
      </c>
      <c r="H23" s="6">
        <f>(DATA!AE52/2)+(DATA!AF52/2)</f>
        <v>416.67</v>
      </c>
      <c r="I23" s="6">
        <f>(DATA!AF52/2)+(DATA!AG52/2)</f>
        <v>416.67</v>
      </c>
      <c r="J23" s="6">
        <f>(DATA!AG52/2)+(DATA!AH52/2)</f>
        <v>416.67</v>
      </c>
      <c r="K23" s="6">
        <f>(DATA!AH52/2)+(DATA!AI52/2)</f>
        <v>416.67</v>
      </c>
      <c r="L23" s="6">
        <f>(DATA!AI52/2)+(DATA!AJ52/2)</f>
        <v>416.67</v>
      </c>
      <c r="M23" s="6">
        <f>(DATA!AJ52/2)+(DATA!AK52/2)</f>
        <v>416.67</v>
      </c>
      <c r="N23" s="7">
        <f t="shared" si="2"/>
        <v>5000.04</v>
      </c>
    </row>
    <row r="24" spans="1:14" x14ac:dyDescent="0.25">
      <c r="A24" t="s">
        <v>155</v>
      </c>
      <c r="B24" s="6">
        <f>(DATA!Y53/2)+(DATA!Z53/2)</f>
        <v>250</v>
      </c>
      <c r="C24" s="6">
        <f>(DATA!Z53/2)+(DATA!AA53/2)</f>
        <v>250</v>
      </c>
      <c r="D24" s="6">
        <f>(DATA!AA53/2)+(DATA!AB53/2)</f>
        <v>250</v>
      </c>
      <c r="E24" s="6">
        <f>(DATA!AB53/2)+(DATA!AC53/2)</f>
        <v>250</v>
      </c>
      <c r="F24" s="6">
        <f>(DATA!AC53/2)+(DATA!AD53/2)</f>
        <v>250</v>
      </c>
      <c r="G24" s="6">
        <f>(DATA!AD53/2)+(DATA!AE53/2)</f>
        <v>250</v>
      </c>
      <c r="H24" s="6">
        <f>(DATA!AE53/2)+(DATA!AF53/2)</f>
        <v>250</v>
      </c>
      <c r="I24" s="6">
        <f>(DATA!AF53/2)+(DATA!AG53/2)</f>
        <v>250</v>
      </c>
      <c r="J24" s="6">
        <f>(DATA!AG53/2)+(DATA!AH53/2)</f>
        <v>250</v>
      </c>
      <c r="K24" s="6">
        <f>(DATA!AH53/2)+(DATA!AI53/2)</f>
        <v>250</v>
      </c>
      <c r="L24" s="6">
        <f>(DATA!AI53/2)+(DATA!AJ53/2)</f>
        <v>250</v>
      </c>
      <c r="M24" s="6">
        <f>(DATA!AJ53/2)+(DATA!AK53/2)</f>
        <v>250</v>
      </c>
      <c r="N24" s="7">
        <f t="shared" si="2"/>
        <v>3000</v>
      </c>
    </row>
    <row r="25" spans="1:14" x14ac:dyDescent="0.25">
      <c r="A25" t="s">
        <v>156</v>
      </c>
      <c r="B25" s="6">
        <f>DATA!Z54</f>
        <v>10000</v>
      </c>
      <c r="C25" s="6">
        <f>DATA!AA54</f>
        <v>0</v>
      </c>
      <c r="D25" s="6">
        <f>DATA!AB54</f>
        <v>0</v>
      </c>
      <c r="E25" s="6">
        <f>DATA!AC54</f>
        <v>0</v>
      </c>
      <c r="F25" s="6">
        <f>DATA!AD54</f>
        <v>0</v>
      </c>
      <c r="G25" s="6">
        <f>DATA!AE54</f>
        <v>0</v>
      </c>
      <c r="H25" s="6">
        <f>DATA!AF54</f>
        <v>0</v>
      </c>
      <c r="I25" s="6">
        <f>DATA!AG54</f>
        <v>0</v>
      </c>
      <c r="J25" s="6">
        <f>DATA!AH54</f>
        <v>0</v>
      </c>
      <c r="K25" s="6">
        <f>DATA!AI54</f>
        <v>0</v>
      </c>
      <c r="L25" s="6">
        <f>DATA!AJ54</f>
        <v>0</v>
      </c>
      <c r="M25" s="6">
        <f>DATA!AK54</f>
        <v>0</v>
      </c>
      <c r="N25" s="7">
        <f t="shared" si="2"/>
        <v>10000</v>
      </c>
    </row>
    <row r="26" spans="1:14" x14ac:dyDescent="0.25">
      <c r="A26" t="s">
        <v>56</v>
      </c>
      <c r="B26" s="6">
        <f>LoanModule!D33</f>
        <v>1509.7981522840248</v>
      </c>
      <c r="C26" s="6">
        <f>LoanModule!D34</f>
        <v>1472.5518866262867</v>
      </c>
      <c r="D26" s="6">
        <f>LoanModule!D35</f>
        <v>1435.0573125308301</v>
      </c>
      <c r="E26" s="6">
        <f>LoanModule!D36</f>
        <v>1397.3127746080702</v>
      </c>
      <c r="F26" s="6">
        <f>LoanModule!D37</f>
        <v>1359.3166064324921</v>
      </c>
      <c r="G26" s="6">
        <f>LoanModule!D38</f>
        <v>1321.0671304690768</v>
      </c>
      <c r="H26" s="6">
        <f>LoanModule!D39</f>
        <v>1282.5626579992388</v>
      </c>
      <c r="I26" s="6">
        <f>LoanModule!D40</f>
        <v>1243.8014890462684</v>
      </c>
      <c r="J26" s="6">
        <f>LoanModule!D41</f>
        <v>1204.7819123002782</v>
      </c>
      <c r="K26" s="6">
        <f>LoanModule!D42</f>
        <v>1165.502205042648</v>
      </c>
      <c r="L26" s="6">
        <f>LoanModule!D43</f>
        <v>1125.9606330699671</v>
      </c>
      <c r="M26" s="6">
        <f>LoanModule!D44</f>
        <v>1086.1554506174682</v>
      </c>
      <c r="N26" s="7">
        <f t="shared" si="2"/>
        <v>15603.868211026653</v>
      </c>
    </row>
    <row r="27" spans="1:14" x14ac:dyDescent="0.25">
      <c r="A27" t="s">
        <v>72</v>
      </c>
      <c r="B27" s="6">
        <f>LoanModule!E33</f>
        <v>5586.9398486607633</v>
      </c>
      <c r="C27" s="6">
        <f>LoanModule!E34</f>
        <v>5624.1861143185015</v>
      </c>
      <c r="D27" s="6">
        <f>LoanModule!E35</f>
        <v>5661.6806884139578</v>
      </c>
      <c r="E27" s="6">
        <f>LoanModule!E36</f>
        <v>5699.425226336718</v>
      </c>
      <c r="F27" s="6">
        <f>LoanModule!E37</f>
        <v>5737.4213945122956</v>
      </c>
      <c r="G27" s="6">
        <f>LoanModule!E38</f>
        <v>5775.6708704757111</v>
      </c>
      <c r="H27" s="6">
        <f>LoanModule!E39</f>
        <v>5814.1753429455493</v>
      </c>
      <c r="I27" s="6">
        <f>LoanModule!E40</f>
        <v>5852.9365118985197</v>
      </c>
      <c r="J27" s="6">
        <f>LoanModule!E41</f>
        <v>5891.9560886445097</v>
      </c>
      <c r="K27" s="6">
        <f>LoanModule!E42</f>
        <v>5931.2357959021401</v>
      </c>
      <c r="L27" s="6">
        <f>LoanModule!E43</f>
        <v>5970.7773678748208</v>
      </c>
      <c r="M27" s="6">
        <f>LoanModule!E44</f>
        <v>6010.58255032732</v>
      </c>
      <c r="N27" s="7">
        <f t="shared" si="2"/>
        <v>69556.987800310817</v>
      </c>
    </row>
    <row r="28" spans="1:14" x14ac:dyDescent="0.25">
      <c r="A28" t="s">
        <v>16</v>
      </c>
      <c r="B28" s="6">
        <f>DATA!Z40</f>
        <v>0</v>
      </c>
      <c r="C28" s="6">
        <f>DATA!AA40</f>
        <v>0</v>
      </c>
      <c r="D28" s="6">
        <f>DATA!AB40</f>
        <v>0</v>
      </c>
      <c r="E28" s="6">
        <f>DATA!AC40</f>
        <v>0</v>
      </c>
      <c r="F28" s="6">
        <f>DATA!AD40</f>
        <v>0</v>
      </c>
      <c r="G28" s="6">
        <f>DATA!AE40</f>
        <v>0</v>
      </c>
      <c r="H28" s="6">
        <f>DATA!AF40</f>
        <v>0</v>
      </c>
      <c r="I28" s="6">
        <f>DATA!AG40</f>
        <v>0</v>
      </c>
      <c r="J28" s="6">
        <f>DATA!AH40</f>
        <v>0</v>
      </c>
      <c r="K28" s="6">
        <f>DATA!AI40</f>
        <v>0</v>
      </c>
      <c r="L28" s="6">
        <f>DATA!AJ40</f>
        <v>0</v>
      </c>
      <c r="M28" s="6">
        <f>DATA!AK40</f>
        <v>0</v>
      </c>
      <c r="N28" s="7">
        <f t="shared" si="2"/>
        <v>0</v>
      </c>
    </row>
    <row r="29" spans="1:14" x14ac:dyDescent="0.25">
      <c r="A29" t="s">
        <v>73</v>
      </c>
      <c r="B29" s="6">
        <f>IF(DATA!E19=B5,DATA!B19,0)+IF(DATA!E22=B5,DATA!B22,0)</f>
        <v>0</v>
      </c>
      <c r="C29" s="6">
        <f>IF(DATA!E19=C5,DATA!B19,0)+IF(DATA!E22=C5,DATA!B22,0)</f>
        <v>0</v>
      </c>
      <c r="D29" s="6">
        <f>IF(DATA!E19=D5,DATA!B19,0)+IF(DATA!E22=D5,DATA!B22,0)</f>
        <v>0</v>
      </c>
      <c r="E29" s="6">
        <f>IF(DATA!E19=E5,DATA!B19,0)+IF(DATA!E22=E5,DATA!B22,0)</f>
        <v>0</v>
      </c>
      <c r="F29" s="6">
        <f>IF(DATA!E19=F5,DATA!B19,0)+IF(DATA!E22=F5,DATA!B22,0)</f>
        <v>0</v>
      </c>
      <c r="G29" s="6">
        <f>IF(DATA!E19=G5,DATA!B19,0)+IF(DATA!E22=G5,DATA!B22,0)</f>
        <v>0</v>
      </c>
      <c r="H29" s="6">
        <f>IF(DATA!E19=H5,DATA!B19,0)+IF(DATA!E22=H5,DATA!B22,0)</f>
        <v>0</v>
      </c>
      <c r="I29" s="6">
        <f>IF(DATA!E19=I5,DATA!B19,0)+IF(DATA!E22=I5,DATA!B22,0)</f>
        <v>0</v>
      </c>
      <c r="J29" s="6">
        <f>IF(DATA!E19=J5,DATA!B19,0)+IF(DATA!E22=J5,DATA!B22,0)</f>
        <v>0</v>
      </c>
      <c r="K29" s="6">
        <f>IF(DATA!E19=K5,DATA!B19,0)+IF(DATA!E22=K5,DATA!B22,0)</f>
        <v>0</v>
      </c>
      <c r="L29" s="6">
        <f>IF(DATA!E19=L5,DATA!B19,0)+IF(DATA!E22=L5,DATA!B22,0)</f>
        <v>0</v>
      </c>
      <c r="M29" s="6">
        <f>IF(DATA!E19=M5,DATA!B19,0)+IF(DATA!E22=M5,DATA!B22,0)</f>
        <v>0</v>
      </c>
      <c r="N29" s="7">
        <f t="shared" si="2"/>
        <v>0</v>
      </c>
    </row>
    <row r="30" spans="1:14" x14ac:dyDescent="0.25">
      <c r="A30" t="s">
        <v>74</v>
      </c>
      <c r="B30" s="6">
        <f>((DATA!B56*DATA!Y61)/2)+((DATA!B56*DATA!Z61)/2)</f>
        <v>0</v>
      </c>
      <c r="C30" s="6">
        <f>((DATA!B56*DATA!Z61)/2)+((DATA!B56*DATA!AA61)/2)</f>
        <v>0</v>
      </c>
      <c r="D30" s="6">
        <f>((DATA!B56*DATA!AA61)/2)+((DATA!B56*DATA!AB61)/2)</f>
        <v>0</v>
      </c>
      <c r="E30" s="6">
        <f>((DATA!B56*DATA!AB61)/2)+((DATA!B56*DATA!AC61)/2)</f>
        <v>0</v>
      </c>
      <c r="F30" s="6">
        <f>((DATA!B56*DATA!AC61)/2)+((DATA!B56*DATA!AD61)/2)</f>
        <v>0</v>
      </c>
      <c r="G30" s="6">
        <f>((DATA!B56*DATA!AD61)/2)+((DATA!B56*DATA!AE61)/2)</f>
        <v>0</v>
      </c>
      <c r="H30" s="6">
        <f>((DATA!B56*DATA!AE61)/2)+((DATA!B56*DATA!AF61)/2)</f>
        <v>0</v>
      </c>
      <c r="I30" s="6">
        <f>((DATA!B56*DATA!AF61)/2)+((DATA!B56*DATA!AG61)/2)</f>
        <v>0</v>
      </c>
      <c r="J30" s="6">
        <f>((DATA!B56*DATA!AG61)/2)+((DATA!B56*DATA!AH61)/2)</f>
        <v>0</v>
      </c>
      <c r="K30" s="6">
        <f>((DATA!B56*DATA!AH61)/2)+((DATA!B56*DATA!AI61)/2)</f>
        <v>0</v>
      </c>
      <c r="L30" s="6">
        <f>((DATA!B56*DATA!AI61)/2)+((DATA!B56*DATA!AJ61)/2)</f>
        <v>0</v>
      </c>
      <c r="M30" s="6">
        <f>((DATA!B56*DATA!AJ61)/2)+((DATA!B56*DATA!AK61)/2)</f>
        <v>0</v>
      </c>
      <c r="N30" s="7">
        <f t="shared" si="2"/>
        <v>0</v>
      </c>
    </row>
    <row r="31" spans="1:14" x14ac:dyDescent="0.25">
      <c r="A31" t="s">
        <v>61</v>
      </c>
      <c r="B31" s="6">
        <f>IncomeStatement_Year3!B35</f>
        <v>1885.2000668899893</v>
      </c>
      <c r="C31" s="6">
        <f>IncomeStatement_Year3!C35</f>
        <v>1885.2000668899893</v>
      </c>
      <c r="D31" s="6">
        <f>IncomeStatement_Year3!D35</f>
        <v>1885.2000668899893</v>
      </c>
      <c r="E31" s="6">
        <f>IncomeStatement_Year3!E35</f>
        <v>1885.2000668899893</v>
      </c>
      <c r="F31" s="6">
        <f>IncomeStatement_Year3!F35</f>
        <v>1885.2000668899893</v>
      </c>
      <c r="G31" s="6">
        <f>IncomeStatement_Year3!G35</f>
        <v>1885.2000668899893</v>
      </c>
      <c r="H31" s="6">
        <f>IncomeStatement_Year3!H35</f>
        <v>1885.2000668899893</v>
      </c>
      <c r="I31" s="6">
        <f>IncomeStatement_Year3!I35</f>
        <v>1885.2000668899893</v>
      </c>
      <c r="J31" s="6">
        <f>IncomeStatement_Year3!J35</f>
        <v>1885.2000668899893</v>
      </c>
      <c r="K31" s="6">
        <f>IncomeStatement_Year3!K35</f>
        <v>1885.2000668899893</v>
      </c>
      <c r="L31" s="6">
        <f>IncomeStatement_Year3!L35</f>
        <v>1885.2000668899893</v>
      </c>
      <c r="M31" s="6">
        <f>IncomeStatement_Year3!M35</f>
        <v>1885.2000668899893</v>
      </c>
      <c r="N31" s="7">
        <f t="shared" si="2"/>
        <v>22622.400802679873</v>
      </c>
    </row>
    <row r="32" spans="1:14" hidden="1" x14ac:dyDescent="0.25">
      <c r="A32" t="s">
        <v>75</v>
      </c>
      <c r="B32" s="6">
        <f>IncomeStatement_Year2!M10*DATA!B3-IncomeStatement_Year3!B10*DATA!B3</f>
        <v>0</v>
      </c>
      <c r="C32" s="6">
        <f>IncomeStatement_Year3!B10*DATA!B3-IncomeStatement_Year3!C10*DATA!B3</f>
        <v>0</v>
      </c>
      <c r="D32" s="6">
        <f>IncomeStatement_Year3!C10*DATA!B3-IncomeStatement_Year3!D10*DATA!B3</f>
        <v>0</v>
      </c>
      <c r="E32" s="6">
        <f>IncomeStatement_Year3!D10*DATA!B3-IncomeStatement_Year3!E10*DATA!B3</f>
        <v>0</v>
      </c>
      <c r="F32" s="6">
        <f>IncomeStatement_Year3!E10*DATA!B3-IncomeStatement_Year3!F10*DATA!B3</f>
        <v>0</v>
      </c>
      <c r="G32" s="6">
        <f>IncomeStatement_Year3!F10*DATA!B3-IncomeStatement_Year3!G10*DATA!B3</f>
        <v>0</v>
      </c>
      <c r="H32" s="6">
        <f>IncomeStatement_Year3!G10*DATA!B3-IncomeStatement_Year3!H10*DATA!B3</f>
        <v>0</v>
      </c>
      <c r="I32" s="6">
        <f>IncomeStatement_Year3!H10*DATA!B3-IncomeStatement_Year3!I10*DATA!B3</f>
        <v>0</v>
      </c>
      <c r="J32" s="6">
        <f>IncomeStatement_Year3!I10*DATA!B3-IncomeStatement_Year3!J10*DATA!B3</f>
        <v>0</v>
      </c>
      <c r="K32" s="6">
        <f>IncomeStatement_Year3!J10*DATA!B3-IncomeStatement_Year3!K10*DATA!B3</f>
        <v>0</v>
      </c>
      <c r="L32" s="6">
        <f>IncomeStatement_Year3!K10*DATA!B3-IncomeStatement_Year3!L10*DATA!B3</f>
        <v>0</v>
      </c>
      <c r="M32" s="6">
        <f>IncomeStatement_Year3!L10*DATA!B3-IncomeStatement_Year3!M10*DATA!B3</f>
        <v>0</v>
      </c>
      <c r="N32" s="7">
        <f t="shared" si="2"/>
        <v>0</v>
      </c>
    </row>
    <row r="33" spans="1:14" x14ac:dyDescent="0.25">
      <c r="A33" s="4" t="s">
        <v>76</v>
      </c>
      <c r="B33" s="9">
        <f t="shared" ref="B33:M33" si="3">SUM(B15:B31)-B32</f>
        <v>44734.006642149587</v>
      </c>
      <c r="C33" s="9">
        <f t="shared" si="3"/>
        <v>34816.944294688008</v>
      </c>
      <c r="D33" s="9">
        <f t="shared" si="3"/>
        <v>34838.968482316319</v>
      </c>
      <c r="E33" s="9">
        <f t="shared" si="3"/>
        <v>34861.473858749363</v>
      </c>
      <c r="F33" s="9">
        <f t="shared" si="3"/>
        <v>34884.459831790169</v>
      </c>
      <c r="G33" s="9">
        <f t="shared" si="3"/>
        <v>34907.92585003913</v>
      </c>
      <c r="H33" s="9">
        <f t="shared" si="3"/>
        <v>34931.871402813827</v>
      </c>
      <c r="I33" s="9">
        <f t="shared" si="3"/>
        <v>34956.296020072921</v>
      </c>
      <c r="J33" s="9">
        <f t="shared" si="3"/>
        <v>34981.199272344049</v>
      </c>
      <c r="K33" s="9">
        <f t="shared" si="3"/>
        <v>35006.580770655739</v>
      </c>
      <c r="L33" s="9">
        <f t="shared" si="3"/>
        <v>35032.440166473199</v>
      </c>
      <c r="M33" s="9">
        <f t="shared" si="3"/>
        <v>35058.7771516383</v>
      </c>
      <c r="N33" s="9">
        <f t="shared" si="2"/>
        <v>429010.9437437306</v>
      </c>
    </row>
    <row r="35" spans="1:14" x14ac:dyDescent="0.25">
      <c r="A35" s="4" t="s">
        <v>77</v>
      </c>
      <c r="B35" s="10">
        <f t="shared" ref="B35:M35" si="4">B12-B33</f>
        <v>-1928.8705561201059</v>
      </c>
      <c r="C35" s="10">
        <f t="shared" si="4"/>
        <v>8073.8448686496122</v>
      </c>
      <c r="D35" s="10">
        <f t="shared" si="4"/>
        <v>8137.6451501371339</v>
      </c>
      <c r="E35" s="10">
        <f t="shared" si="4"/>
        <v>8201.1359775826277</v>
      </c>
      <c r="F35" s="10">
        <f t="shared" si="4"/>
        <v>8264.3182868243093</v>
      </c>
      <c r="G35" s="10">
        <f t="shared" si="4"/>
        <v>8327.1929735906888</v>
      </c>
      <c r="H35" s="10">
        <f t="shared" si="4"/>
        <v>8389.7608935820681</v>
      </c>
      <c r="I35" s="10">
        <f t="shared" si="4"/>
        <v>8452.0228625480449</v>
      </c>
      <c r="J35" s="10">
        <f t="shared" si="4"/>
        <v>8513.9796563610362</v>
      </c>
      <c r="K35" s="10">
        <f t="shared" si="4"/>
        <v>8575.6320110856759</v>
      </c>
      <c r="L35" s="10">
        <f t="shared" si="4"/>
        <v>8636.9806230444665</v>
      </c>
      <c r="M35" s="10">
        <f t="shared" si="4"/>
        <v>8698.0261488791803</v>
      </c>
      <c r="N35" s="10">
        <f>SUM(B35:M35)</f>
        <v>90341.668896164745</v>
      </c>
    </row>
    <row r="37" spans="1:14" x14ac:dyDescent="0.25">
      <c r="A37" s="4" t="s">
        <v>78</v>
      </c>
      <c r="B37" s="7">
        <f>B35</f>
        <v>-1928.8705561201059</v>
      </c>
      <c r="C37" s="7">
        <f t="shared" ref="C37:M37" si="5">B37+C35</f>
        <v>6144.9743125295063</v>
      </c>
      <c r="D37" s="7">
        <f t="shared" si="5"/>
        <v>14282.61946266664</v>
      </c>
      <c r="E37" s="7">
        <f t="shared" si="5"/>
        <v>22483.755440249268</v>
      </c>
      <c r="F37" s="7">
        <f t="shared" si="5"/>
        <v>30748.073727073577</v>
      </c>
      <c r="G37" s="7">
        <f t="shared" si="5"/>
        <v>39075.266700664266</v>
      </c>
      <c r="H37" s="7">
        <f t="shared" si="5"/>
        <v>47465.027594246334</v>
      </c>
      <c r="I37" s="7">
        <f t="shared" si="5"/>
        <v>55917.050456794379</v>
      </c>
      <c r="J37" s="7">
        <f t="shared" si="5"/>
        <v>64431.030113155415</v>
      </c>
      <c r="K37" s="7">
        <f t="shared" si="5"/>
        <v>73006.662124241091</v>
      </c>
      <c r="L37" s="7">
        <f t="shared" si="5"/>
        <v>81643.642747285558</v>
      </c>
      <c r="M37" s="7">
        <f t="shared" si="5"/>
        <v>90341.668896164745</v>
      </c>
      <c r="N37" s="7">
        <f>M37</f>
        <v>90341.668896164745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4" workbookViewId="0">
      <selection activeCell="A32" sqref="A32:XFD32"/>
    </sheetView>
  </sheetViews>
  <sheetFormatPr defaultColWidth="8.85546875" defaultRowHeight="15" x14ac:dyDescent="0.25"/>
  <cols>
    <col min="1" max="1" width="29.42578125" bestFit="1" customWidth="1"/>
    <col min="2" max="2" width="9.28515625" bestFit="1" customWidth="1"/>
    <col min="3" max="3" width="10.42578125" customWidth="1"/>
    <col min="4" max="4" width="10.28515625" customWidth="1"/>
    <col min="5" max="5" width="12" customWidth="1"/>
    <col min="6" max="7" width="11.140625" customWidth="1"/>
    <col min="8" max="8" width="10.7109375" customWidth="1"/>
    <col min="9" max="12" width="10" bestFit="1" customWidth="1"/>
    <col min="13" max="13" width="10.42578125" bestFit="1" customWidth="1"/>
    <col min="14" max="14" width="10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66</v>
      </c>
    </row>
    <row r="3" spans="1:14" x14ac:dyDescent="0.25">
      <c r="A3" t="s">
        <v>120</v>
      </c>
    </row>
    <row r="5" spans="1:14" x14ac:dyDescent="0.25">
      <c r="B5">
        <v>37</v>
      </c>
      <c r="C5">
        <v>38</v>
      </c>
      <c r="D5">
        <v>39</v>
      </c>
      <c r="E5">
        <v>40</v>
      </c>
      <c r="F5">
        <v>41</v>
      </c>
      <c r="G5">
        <v>42</v>
      </c>
      <c r="H5">
        <v>43</v>
      </c>
      <c r="I5">
        <v>44</v>
      </c>
      <c r="J5">
        <v>45</v>
      </c>
      <c r="K5">
        <v>46</v>
      </c>
      <c r="L5">
        <v>47</v>
      </c>
      <c r="M5">
        <v>48</v>
      </c>
      <c r="N5" s="4" t="s">
        <v>120</v>
      </c>
    </row>
    <row r="7" spans="1:14" x14ac:dyDescent="0.25">
      <c r="A7" s="4" t="s">
        <v>67</v>
      </c>
      <c r="B7" s="6">
        <f>CashFlowStatement_Year3!M7+CashFlowStatement_Year3!M35</f>
        <v>215458.90215669488</v>
      </c>
      <c r="C7" s="6">
        <f t="shared" ref="C7:M7" si="0">B7+B35</f>
        <v>213993.15064019081</v>
      </c>
      <c r="D7" s="6">
        <f t="shared" si="0"/>
        <v>222525.57985857056</v>
      </c>
      <c r="E7" s="6">
        <f t="shared" si="0"/>
        <v>231118.02442963363</v>
      </c>
      <c r="F7" s="6">
        <f t="shared" si="0"/>
        <v>239770.1833736487</v>
      </c>
      <c r="G7" s="6">
        <f t="shared" si="0"/>
        <v>248481.75616978205</v>
      </c>
      <c r="H7" s="6">
        <f t="shared" si="0"/>
        <v>257252.4427167025</v>
      </c>
      <c r="I7" s="6">
        <f t="shared" si="0"/>
        <v>266081.94329322019</v>
      </c>
      <c r="J7" s="6">
        <f t="shared" si="0"/>
        <v>274969.9585189551</v>
      </c>
      <c r="K7" s="6">
        <f t="shared" si="0"/>
        <v>283916.18931503152</v>
      </c>
      <c r="L7" s="6">
        <f t="shared" si="0"/>
        <v>292920.33686479466</v>
      </c>
      <c r="M7" s="6">
        <f t="shared" si="0"/>
        <v>301982.10257454496</v>
      </c>
      <c r="N7" s="7">
        <f>M7</f>
        <v>301982.10257454496</v>
      </c>
    </row>
    <row r="9" spans="1:14" x14ac:dyDescent="0.25">
      <c r="A9" s="4" t="s">
        <v>68</v>
      </c>
    </row>
    <row r="10" spans="1:14" x14ac:dyDescent="0.25">
      <c r="A10" t="s">
        <v>25</v>
      </c>
      <c r="B10" s="6">
        <f>DATA!AL67</f>
        <v>43844.360663921805</v>
      </c>
      <c r="C10" s="6">
        <f>DATA!AM67</f>
        <v>43932.093229610298</v>
      </c>
      <c r="D10" s="6">
        <f>DATA!AN67</f>
        <v>44020.001348162747</v>
      </c>
      <c r="E10" s="6">
        <f>DATA!AO67</f>
        <v>44108.085370860412</v>
      </c>
      <c r="F10" s="6">
        <f>DATA!AP67</f>
        <v>44196.345649687493</v>
      </c>
      <c r="G10" s="6">
        <f>DATA!AQ67</f>
        <v>44284.782537332503</v>
      </c>
      <c r="H10" s="6">
        <f>DATA!AR67</f>
        <v>44373.396387189692</v>
      </c>
      <c r="I10" s="6">
        <f>DATA!AS67</f>
        <v>44462.187553360447</v>
      </c>
      <c r="J10" s="6">
        <f>DATA!AT67</f>
        <v>44551.156390654709</v>
      </c>
      <c r="K10" s="6">
        <f>DATA!AU67</f>
        <v>44640.3032545924</v>
      </c>
      <c r="L10" s="6">
        <f>DATA!AV67</f>
        <v>44729.628501404834</v>
      </c>
      <c r="M10" s="6">
        <f>DATA!AW67</f>
        <v>44819.132488036135</v>
      </c>
      <c r="N10" s="7">
        <f>SUM(B10:M10)</f>
        <v>531961.47337481356</v>
      </c>
    </row>
    <row r="11" spans="1:14" x14ac:dyDescent="0.25">
      <c r="A11" t="s">
        <v>45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69</v>
      </c>
      <c r="B12" s="9">
        <f t="shared" ref="B12:M12" si="1">SUM(B10:B11)</f>
        <v>43844.360663921805</v>
      </c>
      <c r="C12" s="9">
        <f t="shared" si="1"/>
        <v>43932.093229610298</v>
      </c>
      <c r="D12" s="9">
        <f t="shared" si="1"/>
        <v>44020.001348162747</v>
      </c>
      <c r="E12" s="9">
        <f t="shared" si="1"/>
        <v>44108.085370860412</v>
      </c>
      <c r="F12" s="9">
        <f t="shared" si="1"/>
        <v>44196.345649687493</v>
      </c>
      <c r="G12" s="9">
        <f t="shared" si="1"/>
        <v>44284.782537332503</v>
      </c>
      <c r="H12" s="9">
        <f t="shared" si="1"/>
        <v>44373.396387189692</v>
      </c>
      <c r="I12" s="9">
        <f t="shared" si="1"/>
        <v>44462.187553360447</v>
      </c>
      <c r="J12" s="9">
        <f t="shared" si="1"/>
        <v>44551.156390654709</v>
      </c>
      <c r="K12" s="9">
        <f t="shared" si="1"/>
        <v>44640.3032545924</v>
      </c>
      <c r="L12" s="9">
        <f t="shared" si="1"/>
        <v>44729.628501404834</v>
      </c>
      <c r="M12" s="9">
        <f t="shared" si="1"/>
        <v>44819.132488036135</v>
      </c>
      <c r="N12" s="9">
        <f>SUM(B12:M12)</f>
        <v>531961.47337481356</v>
      </c>
    </row>
    <row r="14" spans="1:14" x14ac:dyDescent="0.25">
      <c r="A14" s="4" t="s">
        <v>70</v>
      </c>
    </row>
    <row r="15" spans="1:14" x14ac:dyDescent="0.25">
      <c r="A15" t="s">
        <v>158</v>
      </c>
      <c r="B15" s="6">
        <f>(DATA!AK62/2)+(DATA!AL62/2)</f>
        <v>8542.920747867267</v>
      </c>
      <c r="C15" s="6">
        <f>(DATA!AL62/2)+(DATA!AM62/2)</f>
        <v>8568.5837159997463</v>
      </c>
      <c r="D15" s="6">
        <f>(DATA!AM62/2)+(DATA!AN62/2)</f>
        <v>8594.323775791252</v>
      </c>
      <c r="E15" s="6">
        <f>(DATA!AN62/2)+(DATA!AO62/2)</f>
        <v>8620.1411588254341</v>
      </c>
      <c r="F15" s="6">
        <f>(DATA!AO62/2)+(DATA!AP62/2)</f>
        <v>8646.0360973816241</v>
      </c>
      <c r="G15" s="6">
        <f>(DATA!AP62/2)+(DATA!AQ62/2)</f>
        <v>8672.0088244369181</v>
      </c>
      <c r="H15" s="6">
        <f>(DATA!AQ62/2)+(DATA!AR62/2)</f>
        <v>8698.0595736682826</v>
      </c>
      <c r="I15" s="6">
        <f>(DATA!AR62/2)+(DATA!AS62/2)</f>
        <v>8724.1885794546452</v>
      </c>
      <c r="J15" s="6">
        <f>(DATA!AS62/2)+(DATA!AT62/2)</f>
        <v>8750.3960768790093</v>
      </c>
      <c r="K15" s="6">
        <f>(DATA!AT62/2)+(DATA!AU62/2)</f>
        <v>8776.6823017305724</v>
      </c>
      <c r="L15" s="6">
        <f>(DATA!AU62/2)+(DATA!AV62/2)</f>
        <v>8803.0474905068404</v>
      </c>
      <c r="M15" s="6">
        <f>(DATA!AV62/2)+(DATA!AW62/2)</f>
        <v>8829.4918804157569</v>
      </c>
      <c r="N15" s="7">
        <f t="shared" ref="N15:N33" si="2">SUM(B15:M15)</f>
        <v>104225.88022295735</v>
      </c>
    </row>
    <row r="16" spans="1:14" x14ac:dyDescent="0.25">
      <c r="A16" t="s">
        <v>71</v>
      </c>
      <c r="B16" s="6">
        <f>(DATA!AK63/2)+(DATA!AL63/2)</f>
        <v>5532.9086559583702</v>
      </c>
      <c r="C16" s="6">
        <f>(DATA!AL63/2)+(DATA!AM63/2)</f>
        <v>5600.6397965713641</v>
      </c>
      <c r="D16" s="6">
        <f>(DATA!AM63/2)+(DATA!AN63/2)</f>
        <v>5606.2404363679343</v>
      </c>
      <c r="E16" s="6">
        <f>(DATA!AN63/2)+(DATA!AO63/2)</f>
        <v>5611.8466768043018</v>
      </c>
      <c r="F16" s="6">
        <f>(DATA!AO63/2)+(DATA!AP63/2)</f>
        <v>5617.4585234811057</v>
      </c>
      <c r="G16" s="6">
        <f>(DATA!AP63/2)+(DATA!AQ63/2)</f>
        <v>5623.075982004586</v>
      </c>
      <c r="H16" s="6">
        <f>(DATA!AQ63/2)+(DATA!AR63/2)</f>
        <v>5628.6990579865906</v>
      </c>
      <c r="I16" s="6">
        <f>(DATA!AR63/2)+(DATA!AS63/2)</f>
        <v>5634.3277570445753</v>
      </c>
      <c r="J16" s="6">
        <f>(DATA!AS63/2)+(DATA!AT63/2)</f>
        <v>5639.9620848016193</v>
      </c>
      <c r="K16" s="6">
        <f>(DATA!AT63/2)+(DATA!AU63/2)</f>
        <v>5645.6020468864208</v>
      </c>
      <c r="L16" s="6">
        <f>(DATA!AU63/2)+(DATA!AV63/2)</f>
        <v>5651.2476489333058</v>
      </c>
      <c r="M16" s="6">
        <f>(DATA!AV63/2)+(DATA!AW63/2)</f>
        <v>5656.8988965822391</v>
      </c>
      <c r="N16" s="7">
        <f t="shared" si="2"/>
        <v>67448.907563422414</v>
      </c>
    </row>
    <row r="17" spans="1:14" x14ac:dyDescent="0.25">
      <c r="A17" t="s">
        <v>18</v>
      </c>
      <c r="B17" s="6">
        <f>(DATA!AK44/2)+(DATA!AL44/2)</f>
        <v>2163.8350063457133</v>
      </c>
      <c r="C17" s="6">
        <f>(DATA!AL44/2)+(DATA!AM44/2)</f>
        <v>2142.1966562822563</v>
      </c>
      <c r="D17" s="6">
        <f>(DATA!AM44/2)+(DATA!AN44/2)</f>
        <v>2120.7746897194338</v>
      </c>
      <c r="E17" s="6">
        <f>(DATA!AN44/2)+(DATA!AO44/2)</f>
        <v>2099.5669428222395</v>
      </c>
      <c r="F17" s="6">
        <f>(DATA!AO44/2)+(DATA!AP44/2)</f>
        <v>2078.5712733940172</v>
      </c>
      <c r="G17" s="6">
        <f>(DATA!AP44/2)+(DATA!AQ44/2)</f>
        <v>2057.785560660077</v>
      </c>
      <c r="H17" s="6">
        <f>(DATA!AQ44/2)+(DATA!AR44/2)</f>
        <v>2037.2077050534763</v>
      </c>
      <c r="I17" s="6">
        <f>(DATA!AR44/2)+(DATA!AS44/2)</f>
        <v>2016.8356280029416</v>
      </c>
      <c r="J17" s="6">
        <f>(DATA!AS44/2)+(DATA!AT44/2)</f>
        <v>1996.6672717229121</v>
      </c>
      <c r="K17" s="6">
        <f>(DATA!AT44/2)+(DATA!AU44/2)</f>
        <v>1976.7005990056828</v>
      </c>
      <c r="L17" s="6">
        <f>(DATA!AU44/2)+(DATA!AV44/2)</f>
        <v>1956.933593015626</v>
      </c>
      <c r="M17" s="6">
        <f>(DATA!AV44/2)+(DATA!AW44/2)</f>
        <v>1937.3642570854697</v>
      </c>
      <c r="N17" s="7">
        <f t="shared" si="2"/>
        <v>24584.439183109844</v>
      </c>
    </row>
    <row r="18" spans="1:14" x14ac:dyDescent="0.25">
      <c r="A18" t="s">
        <v>152</v>
      </c>
      <c r="B18" s="6">
        <f>(DATA!AK46/2)+(DATA!AL46/2)</f>
        <v>240</v>
      </c>
      <c r="C18" s="6">
        <f>(DATA!AL46/2)+(DATA!AM46/2)</f>
        <v>240</v>
      </c>
      <c r="D18" s="6">
        <f>(DATA!AM46/2)+(DATA!AN46/2)</f>
        <v>240</v>
      </c>
      <c r="E18" s="6">
        <f>(DATA!AN46/2)+(DATA!AO46/2)</f>
        <v>240</v>
      </c>
      <c r="F18" s="6">
        <f>(DATA!AO46/2)+(DATA!AP46/2)</f>
        <v>240</v>
      </c>
      <c r="G18" s="6">
        <f>(DATA!AP46/2)+(DATA!AQ46/2)</f>
        <v>240</v>
      </c>
      <c r="H18" s="6">
        <f>(DATA!AQ46/2)+(DATA!AR46/2)</f>
        <v>240</v>
      </c>
      <c r="I18" s="6">
        <f>(DATA!AR46/2)+(DATA!AS46/2)</f>
        <v>240</v>
      </c>
      <c r="J18" s="6">
        <f>(DATA!AS46/2)+(DATA!AT46/2)</f>
        <v>240</v>
      </c>
      <c r="K18" s="6">
        <f>(DATA!AT46/2)+(DATA!AU46/2)</f>
        <v>240</v>
      </c>
      <c r="L18" s="6">
        <f>(DATA!AU46/2)+(DATA!AV46/2)</f>
        <v>240</v>
      </c>
      <c r="M18" s="6">
        <f>(DATA!AV46/2)+(DATA!AW46/2)</f>
        <v>240</v>
      </c>
      <c r="N18" s="7">
        <f t="shared" si="2"/>
        <v>2880</v>
      </c>
    </row>
    <row r="19" spans="1:14" x14ac:dyDescent="0.25">
      <c r="A19" t="s">
        <v>148</v>
      </c>
      <c r="B19" s="6">
        <f>(DATA!AK47/2)+(DATA!AL47/2)</f>
        <v>200</v>
      </c>
      <c r="C19" s="6">
        <f>(DATA!AL47/2)+(DATA!AM47/2)</f>
        <v>200</v>
      </c>
      <c r="D19" s="6">
        <f>(DATA!AM47/2)+(DATA!AN47/2)</f>
        <v>200</v>
      </c>
      <c r="E19" s="6">
        <f>(DATA!AN47/2)+(DATA!AO47/2)</f>
        <v>200</v>
      </c>
      <c r="F19" s="6">
        <f>(DATA!AO47/2)+(DATA!AP47/2)</f>
        <v>200</v>
      </c>
      <c r="G19" s="6">
        <f>(DATA!AP47/2)+(DATA!AQ47/2)</f>
        <v>200</v>
      </c>
      <c r="H19" s="6">
        <f>(DATA!AQ47/2)+(DATA!AR47/2)</f>
        <v>200</v>
      </c>
      <c r="I19" s="6">
        <f>(DATA!AR47/2)+(DATA!AS47/2)</f>
        <v>200</v>
      </c>
      <c r="J19" s="6">
        <f>(DATA!AS47/2)+(DATA!AT47/2)</f>
        <v>200</v>
      </c>
      <c r="K19" s="6">
        <f>(DATA!AT47/2)+(DATA!AU47/2)</f>
        <v>200</v>
      </c>
      <c r="L19" s="6">
        <f>(DATA!AU47/2)+(DATA!AV47/2)</f>
        <v>200</v>
      </c>
      <c r="M19" s="6">
        <f>(DATA!AV47/2)+(DATA!AW47/2)</f>
        <v>200</v>
      </c>
      <c r="N19" s="7">
        <f t="shared" si="2"/>
        <v>2400</v>
      </c>
    </row>
    <row r="20" spans="1:14" x14ac:dyDescent="0.25">
      <c r="A20" t="s">
        <v>149</v>
      </c>
      <c r="B20" s="6">
        <f>(DATA!AK48/2)+(DATA!AL48/2)</f>
        <v>1779.6072122642809</v>
      </c>
      <c r="C20" s="6">
        <f>(DATA!AL48/2)+(DATA!AM48/2)</f>
        <v>1797.4032843869236</v>
      </c>
      <c r="D20" s="6">
        <f>(DATA!AM48/2)+(DATA!AN48/2)</f>
        <v>1815.3773172307926</v>
      </c>
      <c r="E20" s="6">
        <f>(DATA!AN48/2)+(DATA!AO48/2)</f>
        <v>1833.5310904031005</v>
      </c>
      <c r="F20" s="6">
        <f>(DATA!AO48/2)+(DATA!AP48/2)</f>
        <v>1851.8664013071316</v>
      </c>
      <c r="G20" s="6">
        <f>(DATA!AP48/2)+(DATA!AQ48/2)</f>
        <v>1870.3850653202028</v>
      </c>
      <c r="H20" s="6">
        <f>(DATA!AQ48/2)+(DATA!AR48/2)</f>
        <v>1889.0889159734047</v>
      </c>
      <c r="I20" s="6">
        <f>(DATA!AR48/2)+(DATA!AS48/2)</f>
        <v>1907.9798051331388</v>
      </c>
      <c r="J20" s="6">
        <f>(DATA!AS48/2)+(DATA!AT48/2)</f>
        <v>1927.0596031844702</v>
      </c>
      <c r="K20" s="6">
        <f>(DATA!AT48/2)+(DATA!AU48/2)</f>
        <v>1946.3301992163147</v>
      </c>
      <c r="L20" s="6">
        <f>(DATA!AU48/2)+(DATA!AV48/2)</f>
        <v>1965.7935012084779</v>
      </c>
      <c r="M20" s="6">
        <f>(DATA!AV48/2)+(DATA!AW48/2)</f>
        <v>1985.4514362205628</v>
      </c>
      <c r="N20" s="7">
        <f t="shared" si="2"/>
        <v>22569.873831848799</v>
      </c>
    </row>
    <row r="21" spans="1:14" x14ac:dyDescent="0.25">
      <c r="A21" t="s">
        <v>146</v>
      </c>
      <c r="B21" s="6">
        <f>(DATA!AK50/2)+(DATA!AL50/2)</f>
        <v>6939.91</v>
      </c>
      <c r="C21" s="6">
        <f>(DATA!AL50/2)+(DATA!AM50/2)</f>
        <v>6939.91</v>
      </c>
      <c r="D21" s="6">
        <f>(DATA!AM50/2)+(DATA!AN50/2)</f>
        <v>6939.91</v>
      </c>
      <c r="E21" s="6">
        <f>(DATA!AN50/2)+(DATA!AO50/2)</f>
        <v>6939.91</v>
      </c>
      <c r="F21" s="6">
        <f>(DATA!AO50/2)+(DATA!AP50/2)</f>
        <v>6939.91</v>
      </c>
      <c r="G21" s="6">
        <f>(DATA!AP50/2)+(DATA!AQ50/2)</f>
        <v>6939.91</v>
      </c>
      <c r="H21" s="6">
        <f>(DATA!AQ50/2)+(DATA!AR50/2)</f>
        <v>6939.91</v>
      </c>
      <c r="I21" s="6">
        <f>(DATA!AR50/2)+(DATA!AS50/2)</f>
        <v>6939.91</v>
      </c>
      <c r="J21" s="6">
        <f>(DATA!AS50/2)+(DATA!AT50/2)</f>
        <v>6939.91</v>
      </c>
      <c r="K21" s="6">
        <f>(DATA!AT50/2)+(DATA!AU50/2)</f>
        <v>6939.91</v>
      </c>
      <c r="L21" s="6">
        <f>(DATA!AU50/2)+(DATA!AV50/2)</f>
        <v>6939.91</v>
      </c>
      <c r="M21" s="6">
        <f>(DATA!AV50/2)+(DATA!AW50/2)</f>
        <v>6939.91</v>
      </c>
      <c r="N21" s="7">
        <f t="shared" si="2"/>
        <v>83278.920000000027</v>
      </c>
    </row>
    <row r="22" spans="1:14" x14ac:dyDescent="0.25">
      <c r="A22" t="s">
        <v>153</v>
      </c>
      <c r="B22" s="6">
        <f>(DATA!AK51/2)+(DATA!AL51/2)</f>
        <v>100</v>
      </c>
      <c r="C22" s="6">
        <f>(DATA!AL51/2)+(DATA!AM51/2)</f>
        <v>100</v>
      </c>
      <c r="D22" s="6">
        <f>(DATA!AM51/2)+(DATA!AN51/2)</f>
        <v>100</v>
      </c>
      <c r="E22" s="6">
        <f>(DATA!AN51/2)+(DATA!AO51/2)</f>
        <v>100</v>
      </c>
      <c r="F22" s="6">
        <f>(DATA!AO51/2)+(DATA!AP51/2)</f>
        <v>100</v>
      </c>
      <c r="G22" s="6">
        <f>(DATA!AP51/2)+(DATA!AQ51/2)</f>
        <v>100</v>
      </c>
      <c r="H22" s="6">
        <f>(DATA!AQ51/2)+(DATA!AR51/2)</f>
        <v>100</v>
      </c>
      <c r="I22" s="6">
        <f>(DATA!AR51/2)+(DATA!AS51/2)</f>
        <v>100</v>
      </c>
      <c r="J22" s="6">
        <f>(DATA!AS51/2)+(DATA!AT51/2)</f>
        <v>100</v>
      </c>
      <c r="K22" s="6">
        <f>(DATA!AT51/2)+(DATA!AU51/2)</f>
        <v>100</v>
      </c>
      <c r="L22" s="6">
        <f>(DATA!AU51/2)+(DATA!AV51/2)</f>
        <v>100</v>
      </c>
      <c r="M22" s="6">
        <f>(DATA!AV51/2)+(DATA!AW51/2)</f>
        <v>100</v>
      </c>
      <c r="N22" s="7">
        <f t="shared" si="2"/>
        <v>1200</v>
      </c>
    </row>
    <row r="23" spans="1:14" x14ac:dyDescent="0.25">
      <c r="A23" t="s">
        <v>154</v>
      </c>
      <c r="B23" s="6">
        <f>(DATA!AK52/2)+(DATA!AL52/2)</f>
        <v>416.67</v>
      </c>
      <c r="C23" s="6">
        <f>(DATA!AL52/2)+(DATA!AM52/2)</f>
        <v>416.67</v>
      </c>
      <c r="D23" s="6">
        <f>(DATA!AM52/2)+(DATA!AN52/2)</f>
        <v>416.67</v>
      </c>
      <c r="E23" s="6">
        <f>(DATA!AN52/2)+(DATA!AO52/2)</f>
        <v>416.67</v>
      </c>
      <c r="F23" s="6">
        <f>(DATA!AO52/2)+(DATA!AP52/2)</f>
        <v>416.67</v>
      </c>
      <c r="G23" s="6">
        <f>(DATA!AP52/2)+(DATA!AQ52/2)</f>
        <v>416.67</v>
      </c>
      <c r="H23" s="6">
        <f>(DATA!AQ52/2)+(DATA!AR52/2)</f>
        <v>416.67</v>
      </c>
      <c r="I23" s="6">
        <f>(DATA!AR52/2)+(DATA!AS52/2)</f>
        <v>416.67</v>
      </c>
      <c r="J23" s="6">
        <f>(DATA!AS52/2)+(DATA!AT52/2)</f>
        <v>416.67</v>
      </c>
      <c r="K23" s="6">
        <f>(DATA!AT52/2)+(DATA!AU52/2)</f>
        <v>416.67</v>
      </c>
      <c r="L23" s="6">
        <f>(DATA!AU52/2)+(DATA!AV52/2)</f>
        <v>416.67</v>
      </c>
      <c r="M23" s="6">
        <f>(DATA!AV52/2)+(DATA!AW52/2)</f>
        <v>416.67</v>
      </c>
      <c r="N23" s="7">
        <f t="shared" si="2"/>
        <v>5000.04</v>
      </c>
    </row>
    <row r="24" spans="1:14" x14ac:dyDescent="0.25">
      <c r="A24" t="s">
        <v>155</v>
      </c>
      <c r="B24" s="6">
        <f>(DATA!AK53/2)+(DATA!AL53/2)</f>
        <v>250</v>
      </c>
      <c r="C24" s="6">
        <f>(DATA!AL53/2)+(DATA!AM53/2)</f>
        <v>250</v>
      </c>
      <c r="D24" s="6">
        <f>(DATA!AM53/2)+(DATA!AN53/2)</f>
        <v>250</v>
      </c>
      <c r="E24" s="6">
        <f>(DATA!AN53/2)+(DATA!AO53/2)</f>
        <v>250</v>
      </c>
      <c r="F24" s="6">
        <f>(DATA!AO53/2)+(DATA!AP53/2)</f>
        <v>250</v>
      </c>
      <c r="G24" s="6">
        <f>(DATA!AP53/2)+(DATA!AQ53/2)</f>
        <v>250</v>
      </c>
      <c r="H24" s="6">
        <f>(DATA!AQ53/2)+(DATA!AR53/2)</f>
        <v>250</v>
      </c>
      <c r="I24" s="6">
        <f>(DATA!AR53/2)+(DATA!AS53/2)</f>
        <v>250</v>
      </c>
      <c r="J24" s="6">
        <f>(DATA!AS53/2)+(DATA!AT53/2)</f>
        <v>250</v>
      </c>
      <c r="K24" s="6">
        <f>(DATA!AT53/2)+(DATA!AU53/2)</f>
        <v>250</v>
      </c>
      <c r="L24" s="6">
        <f>(DATA!AU53/2)+(DATA!AV53/2)</f>
        <v>250</v>
      </c>
      <c r="M24" s="6">
        <f>(DATA!AV53/2)+(DATA!AW53/2)</f>
        <v>250</v>
      </c>
      <c r="N24" s="7">
        <f t="shared" si="2"/>
        <v>3000</v>
      </c>
    </row>
    <row r="25" spans="1:14" x14ac:dyDescent="0.25">
      <c r="A25" t="s">
        <v>156</v>
      </c>
      <c r="B25" s="6">
        <f>DATA!AL54</f>
        <v>10000</v>
      </c>
      <c r="C25" s="6">
        <f>DATA!AM54</f>
        <v>0</v>
      </c>
      <c r="D25" s="6">
        <f>DATA!AN54</f>
        <v>0</v>
      </c>
      <c r="E25" s="6">
        <f>DATA!AO54</f>
        <v>0</v>
      </c>
      <c r="F25" s="6">
        <f>DATA!AP54</f>
        <v>0</v>
      </c>
      <c r="G25" s="6">
        <f>DATA!AQ54</f>
        <v>0</v>
      </c>
      <c r="H25" s="6">
        <f>DATA!AR54</f>
        <v>0</v>
      </c>
      <c r="I25" s="6">
        <f>DATA!AS54</f>
        <v>0</v>
      </c>
      <c r="J25" s="6">
        <f>DATA!AT54</f>
        <v>0</v>
      </c>
      <c r="K25" s="6">
        <f>DATA!AU54</f>
        <v>0</v>
      </c>
      <c r="L25" s="6">
        <f>DATA!AV54</f>
        <v>0</v>
      </c>
      <c r="M25" s="6">
        <f>DATA!AW54</f>
        <v>0</v>
      </c>
      <c r="N25" s="7">
        <f t="shared" si="2"/>
        <v>10000</v>
      </c>
    </row>
    <row r="26" spans="1:14" x14ac:dyDescent="0.25">
      <c r="A26" t="s">
        <v>56</v>
      </c>
      <c r="B26" s="6">
        <f>LoanModule!D45</f>
        <v>1046.0849002819527</v>
      </c>
      <c r="C26" s="6">
        <f>LoanModule!D46</f>
        <v>1005.7472129442004</v>
      </c>
      <c r="D26" s="6">
        <f>LoanModule!D47</f>
        <v>965.14060769086336</v>
      </c>
      <c r="E26" s="6">
        <f>LoanModule!D48</f>
        <v>924.26329173583724</v>
      </c>
      <c r="F26" s="6">
        <f>LoanModule!D49</f>
        <v>883.11346034111091</v>
      </c>
      <c r="G26" s="6">
        <f>LoanModule!D50</f>
        <v>841.68929673708635</v>
      </c>
      <c r="H26" s="6">
        <f>LoanModule!D51</f>
        <v>799.98897204236835</v>
      </c>
      <c r="I26" s="6">
        <f>LoanModule!D52</f>
        <v>758.01064518301894</v>
      </c>
      <c r="J26" s="6">
        <f>LoanModule!D53</f>
        <v>715.75246281127374</v>
      </c>
      <c r="K26" s="6">
        <f>LoanModule!D54</f>
        <v>673.21255922371699</v>
      </c>
      <c r="L26" s="6">
        <f>LoanModule!D55</f>
        <v>630.38905627890983</v>
      </c>
      <c r="M26" s="6">
        <f>LoanModule!D56</f>
        <v>587.28006331447068</v>
      </c>
      <c r="N26" s="7">
        <f t="shared" si="2"/>
        <v>9830.6725285848079</v>
      </c>
    </row>
    <row r="27" spans="1:14" x14ac:dyDescent="0.25">
      <c r="A27" t="s">
        <v>72</v>
      </c>
      <c r="B27" s="6">
        <f>LoanModule!E45</f>
        <v>6050.6531006628356</v>
      </c>
      <c r="C27" s="6">
        <f>LoanModule!E46</f>
        <v>6090.9907880005876</v>
      </c>
      <c r="D27" s="6">
        <f>LoanModule!E47</f>
        <v>6131.5973932539246</v>
      </c>
      <c r="E27" s="6">
        <f>LoanModule!E48</f>
        <v>6172.474709208951</v>
      </c>
      <c r="F27" s="6">
        <f>LoanModule!E49</f>
        <v>6213.6245406036769</v>
      </c>
      <c r="G27" s="6">
        <f>LoanModule!E50</f>
        <v>6255.048704207702</v>
      </c>
      <c r="H27" s="6">
        <f>LoanModule!E51</f>
        <v>6296.7490289024199</v>
      </c>
      <c r="I27" s="6">
        <f>LoanModule!E52</f>
        <v>6338.7273557617691</v>
      </c>
      <c r="J27" s="6">
        <f>LoanModule!E53</f>
        <v>6380.9855381335146</v>
      </c>
      <c r="K27" s="6">
        <f>LoanModule!E54</f>
        <v>6423.5254417210708</v>
      </c>
      <c r="L27" s="6">
        <f>LoanModule!E55</f>
        <v>6466.3489446658778</v>
      </c>
      <c r="M27" s="6">
        <f>LoanModule!E56</f>
        <v>6509.4579376303172</v>
      </c>
      <c r="N27" s="7">
        <f t="shared" si="2"/>
        <v>75330.183482752647</v>
      </c>
    </row>
    <row r="28" spans="1:14" x14ac:dyDescent="0.25">
      <c r="A28" t="s">
        <v>16</v>
      </c>
      <c r="B28" s="6">
        <f>DATA!AL40</f>
        <v>0</v>
      </c>
      <c r="C28" s="6">
        <f>DATA!AM40</f>
        <v>0</v>
      </c>
      <c r="D28" s="6">
        <f>DATA!AN40</f>
        <v>0</v>
      </c>
      <c r="E28" s="6">
        <f>DATA!AO40</f>
        <v>0</v>
      </c>
      <c r="F28" s="6">
        <f>DATA!AP40</f>
        <v>0</v>
      </c>
      <c r="G28" s="6">
        <f>DATA!AQ40</f>
        <v>0</v>
      </c>
      <c r="H28" s="6">
        <f>DATA!AR40</f>
        <v>0</v>
      </c>
      <c r="I28" s="6">
        <f>DATA!AS40</f>
        <v>0</v>
      </c>
      <c r="J28" s="6">
        <f>DATA!AT40</f>
        <v>0</v>
      </c>
      <c r="K28" s="6">
        <f>DATA!AU40</f>
        <v>0</v>
      </c>
      <c r="L28" s="6">
        <f>DATA!AV40</f>
        <v>0</v>
      </c>
      <c r="M28" s="6">
        <f>DATA!AW40</f>
        <v>0</v>
      </c>
      <c r="N28" s="7">
        <f t="shared" si="2"/>
        <v>0</v>
      </c>
    </row>
    <row r="29" spans="1:14" x14ac:dyDescent="0.25">
      <c r="A29" t="s">
        <v>73</v>
      </c>
      <c r="B29" s="6">
        <f>IF(DATA!E19=B5,DATA!B19,0)+IF(DATA!E22=B5,DATA!B22,0)</f>
        <v>0</v>
      </c>
      <c r="C29" s="6">
        <f>IF(DATA!E19=C5,DATA!B19,0)+IF(DATA!E22=C5,DATA!B22,0)</f>
        <v>0</v>
      </c>
      <c r="D29" s="6">
        <f>IF(DATA!E19=D5,DATA!B19,0)+IF(DATA!E22=D5,DATA!B22,0)</f>
        <v>0</v>
      </c>
      <c r="E29" s="6">
        <f>IF(DATA!E19=E5,DATA!B19,0)+IF(DATA!E22=E5,DATA!B22,0)</f>
        <v>0</v>
      </c>
      <c r="F29" s="6">
        <f>IF(DATA!E19=F5,DATA!B19,0)+IF(DATA!E22=F5,DATA!B22,0)</f>
        <v>0</v>
      </c>
      <c r="G29" s="6">
        <f>IF(DATA!E19=G5,DATA!B19,0)+IF(DATA!E22=G5,DATA!B22,0)</f>
        <v>0</v>
      </c>
      <c r="H29" s="6">
        <f>IF(DATA!E19=H5,DATA!B19,0)+IF(DATA!E22=H5,DATA!B22,0)</f>
        <v>0</v>
      </c>
      <c r="I29" s="6">
        <f>IF(DATA!E19=I5,DATA!B19,0)+IF(DATA!E22=I5,DATA!B22,0)</f>
        <v>0</v>
      </c>
      <c r="J29" s="6">
        <f>IF(DATA!E19=J5,DATA!B19,0)+IF(DATA!E22=J5,DATA!B22,0)</f>
        <v>0</v>
      </c>
      <c r="K29" s="6">
        <f>IF(DATA!E19=K5,DATA!B19,0)+IF(DATA!E22=K5,DATA!B22,0)</f>
        <v>0</v>
      </c>
      <c r="L29" s="6">
        <f>IF(DATA!E19=L5,DATA!B19,0)+IF(DATA!E22=L5,DATA!B22,0)</f>
        <v>0</v>
      </c>
      <c r="M29" s="6">
        <f>IF(DATA!E19=M5,DATA!B19,0)+IF(DATA!E22=M5,DATA!B22,0)</f>
        <v>0</v>
      </c>
      <c r="N29" s="7">
        <f t="shared" si="2"/>
        <v>0</v>
      </c>
    </row>
    <row r="30" spans="1:14" x14ac:dyDescent="0.25">
      <c r="A30" t="s">
        <v>74</v>
      </c>
      <c r="B30" s="6">
        <f>((DATA!$B$56*DATA!AK61)/2)+((DATA!$B$56*DATA!AL61)/2)</f>
        <v>0</v>
      </c>
      <c r="C30" s="6">
        <f>((DATA!$B$56*DATA!AL61)/2)+((DATA!$B$56*DATA!AM61)/2)</f>
        <v>0</v>
      </c>
      <c r="D30" s="6">
        <f>((DATA!$B$56*DATA!AM61)/2)+((DATA!$B$56*DATA!AN61)/2)</f>
        <v>0</v>
      </c>
      <c r="E30" s="6">
        <f>((DATA!$B$56*DATA!AN61)/2)+((DATA!$B$56*DATA!AO61)/2)</f>
        <v>0</v>
      </c>
      <c r="F30" s="6">
        <f>((DATA!$B$56*DATA!AO61)/2)+((DATA!$B$56*DATA!AP61)/2)</f>
        <v>0</v>
      </c>
      <c r="G30" s="6">
        <f>((DATA!$B$56*DATA!AP61)/2)+((DATA!$B$56*DATA!AQ61)/2)</f>
        <v>0</v>
      </c>
      <c r="H30" s="6">
        <f>((DATA!$B$56*DATA!AQ61)/2)+((DATA!$B$56*DATA!AR61)/2)</f>
        <v>0</v>
      </c>
      <c r="I30" s="6">
        <f>((DATA!$B$56*DATA!AR61)/2)+((DATA!$B$56*DATA!AS61)/2)</f>
        <v>0</v>
      </c>
      <c r="J30" s="6">
        <f>((DATA!$B$56*DATA!AS61)/2)+((DATA!$B$56*DATA!AT61)/2)</f>
        <v>0</v>
      </c>
      <c r="K30" s="6">
        <f>((DATA!$B$56*DATA!AT61)/2)+((DATA!$B$56*DATA!AU61)/2)</f>
        <v>0</v>
      </c>
      <c r="L30" s="6">
        <f>((DATA!$B$56*DATA!AU61)/2)+((DATA!$B$56*DATA!AV61)/2)</f>
        <v>0</v>
      </c>
      <c r="M30" s="6">
        <f>((DATA!$B$56*DATA!AV61)/2)+((DATA!$B$56*DATA!AW61)/2)</f>
        <v>0</v>
      </c>
      <c r="N30" s="7">
        <f t="shared" si="2"/>
        <v>0</v>
      </c>
    </row>
    <row r="31" spans="1:14" x14ac:dyDescent="0.25">
      <c r="A31" t="s">
        <v>61</v>
      </c>
      <c r="B31" s="6">
        <f>IncomeStatement_Year4!B35</f>
        <v>2047.5225570454711</v>
      </c>
      <c r="C31" s="6">
        <f>IncomeStatement_Year4!C35</f>
        <v>2047.5225570454711</v>
      </c>
      <c r="D31" s="6">
        <f>IncomeStatement_Year4!D35</f>
        <v>2047.5225570454711</v>
      </c>
      <c r="E31" s="6">
        <f>IncomeStatement_Year4!E35</f>
        <v>2047.5225570454711</v>
      </c>
      <c r="F31" s="6">
        <f>IncomeStatement_Year4!F35</f>
        <v>2047.5225570454711</v>
      </c>
      <c r="G31" s="6">
        <f>IncomeStatement_Year4!G35</f>
        <v>2047.5225570454711</v>
      </c>
      <c r="H31" s="6">
        <f>IncomeStatement_Year4!H35</f>
        <v>2047.5225570454711</v>
      </c>
      <c r="I31" s="6">
        <f>IncomeStatement_Year4!I35</f>
        <v>2047.5225570454711</v>
      </c>
      <c r="J31" s="6">
        <f>IncomeStatement_Year4!J35</f>
        <v>2047.5225570454711</v>
      </c>
      <c r="K31" s="6">
        <f>IncomeStatement_Year4!K35</f>
        <v>2047.5225570454711</v>
      </c>
      <c r="L31" s="6">
        <f>IncomeStatement_Year4!L35</f>
        <v>2047.5225570454711</v>
      </c>
      <c r="M31" s="6">
        <f>IncomeStatement_Year4!M35</f>
        <v>2047.5225570454711</v>
      </c>
      <c r="N31" s="7">
        <f t="shared" si="2"/>
        <v>24570.270684545652</v>
      </c>
    </row>
    <row r="32" spans="1:14" hidden="1" x14ac:dyDescent="0.25">
      <c r="A32" t="s">
        <v>75</v>
      </c>
      <c r="B32" s="6">
        <f>IncomeStatement_Year3!M10*DATA!$B$3-IncomeStatement_Year4!B10*DATA!$B$3</f>
        <v>0</v>
      </c>
      <c r="C32" s="6">
        <f>IncomeStatement_Year4!B10*DATA!$B$3-IncomeStatement_Year4!C10*DATA!$B$3</f>
        <v>0</v>
      </c>
      <c r="D32" s="6">
        <f>IncomeStatement_Year4!C10*DATA!$B$3-IncomeStatement_Year4!D10*DATA!$B$3</f>
        <v>0</v>
      </c>
      <c r="E32" s="6">
        <f>IncomeStatement_Year4!D10*DATA!$B$3-IncomeStatement_Year4!E10*DATA!$B$3</f>
        <v>0</v>
      </c>
      <c r="F32" s="6">
        <f>IncomeStatement_Year4!E10*DATA!$B$3-IncomeStatement_Year4!F10*DATA!$B$3</f>
        <v>0</v>
      </c>
      <c r="G32" s="6">
        <f>IncomeStatement_Year4!F10*DATA!$B$3-IncomeStatement_Year4!G10*DATA!$B$3</f>
        <v>0</v>
      </c>
      <c r="H32" s="6">
        <f>IncomeStatement_Year4!G10*DATA!$B$3-IncomeStatement_Year4!H10*DATA!$B$3</f>
        <v>0</v>
      </c>
      <c r="I32" s="6">
        <f>IncomeStatement_Year4!H10*DATA!$B$3-IncomeStatement_Year4!I10*DATA!$B$3</f>
        <v>0</v>
      </c>
      <c r="J32" s="6">
        <f>IncomeStatement_Year4!I10*DATA!$B$3-IncomeStatement_Year4!J10*DATA!$B$3</f>
        <v>0</v>
      </c>
      <c r="K32" s="6">
        <f>IncomeStatement_Year4!J10*DATA!$B$3-IncomeStatement_Year4!K10*DATA!$B$3</f>
        <v>0</v>
      </c>
      <c r="L32" s="6">
        <f>IncomeStatement_Year4!K10*DATA!$B$3-IncomeStatement_Year4!L10*DATA!$B$3</f>
        <v>0</v>
      </c>
      <c r="M32" s="6">
        <f>IncomeStatement_Year4!L10*DATA!$B$3-IncomeStatement_Year4!M10*DATA!$B$3</f>
        <v>0</v>
      </c>
      <c r="N32" s="7">
        <f t="shared" si="2"/>
        <v>0</v>
      </c>
    </row>
    <row r="33" spans="1:14" x14ac:dyDescent="0.25">
      <c r="A33" s="4" t="s">
        <v>76</v>
      </c>
      <c r="B33" s="9">
        <f t="shared" ref="B33:M33" si="3">SUM(B15:B31)-B32</f>
        <v>45310.112180425887</v>
      </c>
      <c r="C33" s="9">
        <f t="shared" si="3"/>
        <v>35399.664011230547</v>
      </c>
      <c r="D33" s="9">
        <f t="shared" si="3"/>
        <v>35427.556777099671</v>
      </c>
      <c r="E33" s="9">
        <f t="shared" si="3"/>
        <v>35455.926426845333</v>
      </c>
      <c r="F33" s="9">
        <f t="shared" si="3"/>
        <v>35484.772853554139</v>
      </c>
      <c r="G33" s="9">
        <f t="shared" si="3"/>
        <v>35514.095990412046</v>
      </c>
      <c r="H33" s="9">
        <f t="shared" si="3"/>
        <v>35543.895810672009</v>
      </c>
      <c r="I33" s="9">
        <f t="shared" si="3"/>
        <v>35574.172327625558</v>
      </c>
      <c r="J33" s="9">
        <f t="shared" si="3"/>
        <v>35604.925594578272</v>
      </c>
      <c r="K33" s="9">
        <f t="shared" si="3"/>
        <v>35636.155704829252</v>
      </c>
      <c r="L33" s="9">
        <f t="shared" si="3"/>
        <v>35667.862791654508</v>
      </c>
      <c r="M33" s="9">
        <f t="shared" si="3"/>
        <v>35700.047028294284</v>
      </c>
      <c r="N33" s="9">
        <f t="shared" si="2"/>
        <v>436319.18749722152</v>
      </c>
    </row>
    <row r="35" spans="1:14" x14ac:dyDescent="0.25">
      <c r="A35" s="4" t="s">
        <v>77</v>
      </c>
      <c r="B35" s="10">
        <f t="shared" ref="B35:M35" si="4">B12-B33</f>
        <v>-1465.7515165040822</v>
      </c>
      <c r="C35" s="10">
        <f t="shared" si="4"/>
        <v>8532.4292183797515</v>
      </c>
      <c r="D35" s="10">
        <f t="shared" si="4"/>
        <v>8592.4445710630753</v>
      </c>
      <c r="E35" s="10">
        <f t="shared" si="4"/>
        <v>8652.1589440150783</v>
      </c>
      <c r="F35" s="10">
        <f t="shared" si="4"/>
        <v>8711.5727961333541</v>
      </c>
      <c r="G35" s="10">
        <f t="shared" si="4"/>
        <v>8770.6865469204567</v>
      </c>
      <c r="H35" s="10">
        <f t="shared" si="4"/>
        <v>8829.5005765176829</v>
      </c>
      <c r="I35" s="10">
        <f t="shared" si="4"/>
        <v>8888.0152257348891</v>
      </c>
      <c r="J35" s="10">
        <f t="shared" si="4"/>
        <v>8946.2307960764374</v>
      </c>
      <c r="K35" s="10">
        <f t="shared" si="4"/>
        <v>9004.1475497631473</v>
      </c>
      <c r="L35" s="10">
        <f t="shared" si="4"/>
        <v>9061.7657097503252</v>
      </c>
      <c r="M35" s="10">
        <f t="shared" si="4"/>
        <v>9119.0854597418511</v>
      </c>
      <c r="N35" s="10">
        <f>SUM(B35:M35)</f>
        <v>95642.285877591959</v>
      </c>
    </row>
    <row r="37" spans="1:14" x14ac:dyDescent="0.25">
      <c r="A37" s="4" t="s">
        <v>78</v>
      </c>
      <c r="B37" s="7">
        <f>B35</f>
        <v>-1465.7515165040822</v>
      </c>
      <c r="C37" s="7">
        <f t="shared" ref="C37:M37" si="5">B37+C35</f>
        <v>7066.6777018756693</v>
      </c>
      <c r="D37" s="7">
        <f t="shared" si="5"/>
        <v>15659.122272938745</v>
      </c>
      <c r="E37" s="7">
        <f t="shared" si="5"/>
        <v>24311.281216953823</v>
      </c>
      <c r="F37" s="7">
        <f t="shared" si="5"/>
        <v>33022.854013087177</v>
      </c>
      <c r="G37" s="7">
        <f t="shared" si="5"/>
        <v>41793.540560007634</v>
      </c>
      <c r="H37" s="7">
        <f t="shared" si="5"/>
        <v>50623.041136525317</v>
      </c>
      <c r="I37" s="7">
        <f t="shared" si="5"/>
        <v>59511.056362260206</v>
      </c>
      <c r="J37" s="7">
        <f t="shared" si="5"/>
        <v>68457.287158336636</v>
      </c>
      <c r="K37" s="7">
        <f t="shared" si="5"/>
        <v>77461.434708099783</v>
      </c>
      <c r="L37" s="7">
        <f t="shared" si="5"/>
        <v>86523.200417850108</v>
      </c>
      <c r="M37" s="7">
        <f t="shared" si="5"/>
        <v>95642.285877591959</v>
      </c>
      <c r="N37" s="7">
        <f>M37</f>
        <v>95642.285877591959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32" sqref="A32:XFD32"/>
    </sheetView>
  </sheetViews>
  <sheetFormatPr defaultColWidth="8.85546875" defaultRowHeight="15" x14ac:dyDescent="0.25"/>
  <cols>
    <col min="1" max="1" width="29.42578125" bestFit="1" customWidth="1"/>
    <col min="2" max="12" width="10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66</v>
      </c>
    </row>
    <row r="3" spans="1:14" x14ac:dyDescent="0.25">
      <c r="A3" t="s">
        <v>121</v>
      </c>
    </row>
    <row r="5" spans="1:14" x14ac:dyDescent="0.25">
      <c r="B5">
        <v>49</v>
      </c>
      <c r="C5">
        <v>50</v>
      </c>
      <c r="D5">
        <v>51</v>
      </c>
      <c r="E5">
        <v>52</v>
      </c>
      <c r="F5">
        <v>53</v>
      </c>
      <c r="G5">
        <v>54</v>
      </c>
      <c r="H5">
        <v>55</v>
      </c>
      <c r="I5">
        <v>56</v>
      </c>
      <c r="J5">
        <v>57</v>
      </c>
      <c r="K5">
        <v>58</v>
      </c>
      <c r="L5">
        <v>59</v>
      </c>
      <c r="M5">
        <v>60</v>
      </c>
      <c r="N5" s="4" t="s">
        <v>121</v>
      </c>
    </row>
    <row r="7" spans="1:14" x14ac:dyDescent="0.25">
      <c r="A7" s="4" t="s">
        <v>67</v>
      </c>
      <c r="B7" s="6">
        <f>CashFlowStatement_Year4!M7+CashFlowStatement_Year4!M35</f>
        <v>311101.18803428684</v>
      </c>
      <c r="C7" s="6">
        <f t="shared" ref="C7:M7" si="0">B7+B35</f>
        <v>310052.96971015068</v>
      </c>
      <c r="D7" s="6">
        <f t="shared" si="0"/>
        <v>318998.46303189988</v>
      </c>
      <c r="E7" s="6">
        <f t="shared" si="0"/>
        <v>328000.25562308414</v>
      </c>
      <c r="F7" s="6">
        <f t="shared" si="0"/>
        <v>337058.04929019342</v>
      </c>
      <c r="G7" s="6">
        <f t="shared" si="0"/>
        <v>346171.54582711257</v>
      </c>
      <c r="H7" s="6">
        <f t="shared" si="0"/>
        <v>355340.44697587192</v>
      </c>
      <c r="I7" s="6">
        <f t="shared" si="0"/>
        <v>364564.45438738458</v>
      </c>
      <c r="J7" s="6">
        <f t="shared" si="0"/>
        <v>373843.26958216616</v>
      </c>
      <c r="K7" s="6">
        <f t="shared" si="0"/>
        <v>383176.59391103347</v>
      </c>
      <c r="L7" s="6">
        <f t="shared" si="0"/>
        <v>392564.12851577811</v>
      </c>
      <c r="M7" s="6">
        <f t="shared" si="0"/>
        <v>402005.57428981055</v>
      </c>
      <c r="N7" s="7">
        <f>M7</f>
        <v>402005.57428981055</v>
      </c>
    </row>
    <row r="9" spans="1:14" x14ac:dyDescent="0.25">
      <c r="A9" s="4" t="s">
        <v>68</v>
      </c>
    </row>
    <row r="10" spans="1:14" x14ac:dyDescent="0.25">
      <c r="A10" t="s">
        <v>25</v>
      </c>
      <c r="B10" s="6">
        <f>DATA!AX67</f>
        <v>44908.815572144682</v>
      </c>
      <c r="C10" s="6">
        <f>DATA!AY67</f>
        <v>44998.678112104535</v>
      </c>
      <c r="D10" s="6">
        <f>DATA!AZ67</f>
        <v>45088.720467006846</v>
      </c>
      <c r="E10" s="6">
        <f>DATA!BA67</f>
        <v>45178.942996661317</v>
      </c>
      <c r="F10" s="6">
        <f>DATA!BB67</f>
        <v>45269.346061597629</v>
      </c>
      <c r="G10" s="6">
        <f>DATA!BC67</f>
        <v>45359.930023066874</v>
      </c>
      <c r="H10" s="6">
        <f>DATA!BD67</f>
        <v>45450.695243043017</v>
      </c>
      <c r="I10" s="6">
        <f>DATA!BE67</f>
        <v>45541.642084224339</v>
      </c>
      <c r="J10" s="6">
        <f>DATA!BF67</f>
        <v>45632.770910034866</v>
      </c>
      <c r="K10" s="6">
        <f>DATA!BG67</f>
        <v>45724.082084625836</v>
      </c>
      <c r="L10" s="6">
        <f>DATA!BH67</f>
        <v>45815.575972877159</v>
      </c>
      <c r="M10" s="6">
        <f>DATA!BI67</f>
        <v>45907.252940398881</v>
      </c>
      <c r="N10" s="7">
        <f>SUM(B10:M10)</f>
        <v>544876.45246778603</v>
      </c>
    </row>
    <row r="11" spans="1:14" x14ac:dyDescent="0.25">
      <c r="A11" t="s">
        <v>45</v>
      </c>
      <c r="B11" s="6">
        <f>0</f>
        <v>0</v>
      </c>
      <c r="C11" s="6">
        <f>0</f>
        <v>0</v>
      </c>
      <c r="D11" s="6">
        <f>0</f>
        <v>0</v>
      </c>
      <c r="E11" s="6">
        <f>0</f>
        <v>0</v>
      </c>
      <c r="F11" s="6">
        <f>0</f>
        <v>0</v>
      </c>
      <c r="G11" s="6">
        <f>0</f>
        <v>0</v>
      </c>
      <c r="H11" s="6">
        <f>0</f>
        <v>0</v>
      </c>
      <c r="I11" s="6">
        <f>0</f>
        <v>0</v>
      </c>
      <c r="J11" s="6">
        <f>0</f>
        <v>0</v>
      </c>
      <c r="K11" s="6">
        <f>0</f>
        <v>0</v>
      </c>
      <c r="L11" s="6">
        <f>0</f>
        <v>0</v>
      </c>
      <c r="M11" s="6">
        <f>0</f>
        <v>0</v>
      </c>
      <c r="N11" s="7">
        <f>SUM(B11:M11)</f>
        <v>0</v>
      </c>
    </row>
    <row r="12" spans="1:14" x14ac:dyDescent="0.25">
      <c r="A12" s="4" t="s">
        <v>69</v>
      </c>
      <c r="B12" s="9">
        <f t="shared" ref="B12:M12" si="1">SUM(B10:B11)</f>
        <v>44908.815572144682</v>
      </c>
      <c r="C12" s="9">
        <f t="shared" si="1"/>
        <v>44998.678112104535</v>
      </c>
      <c r="D12" s="9">
        <f t="shared" si="1"/>
        <v>45088.720467006846</v>
      </c>
      <c r="E12" s="9">
        <f t="shared" si="1"/>
        <v>45178.942996661317</v>
      </c>
      <c r="F12" s="9">
        <f t="shared" si="1"/>
        <v>45269.346061597629</v>
      </c>
      <c r="G12" s="9">
        <f t="shared" si="1"/>
        <v>45359.930023066874</v>
      </c>
      <c r="H12" s="9">
        <f t="shared" si="1"/>
        <v>45450.695243043017</v>
      </c>
      <c r="I12" s="9">
        <f t="shared" si="1"/>
        <v>45541.642084224339</v>
      </c>
      <c r="J12" s="9">
        <f t="shared" si="1"/>
        <v>45632.770910034866</v>
      </c>
      <c r="K12" s="9">
        <f t="shared" si="1"/>
        <v>45724.082084625836</v>
      </c>
      <c r="L12" s="9">
        <f t="shared" si="1"/>
        <v>45815.575972877159</v>
      </c>
      <c r="M12" s="9">
        <f t="shared" si="1"/>
        <v>45907.252940398881</v>
      </c>
      <c r="N12" s="9">
        <f>SUM(B12:M12)</f>
        <v>544876.45246778603</v>
      </c>
    </row>
    <row r="14" spans="1:14" x14ac:dyDescent="0.25">
      <c r="A14" s="4" t="s">
        <v>70</v>
      </c>
    </row>
    <row r="15" spans="1:14" x14ac:dyDescent="0.25">
      <c r="A15" t="s">
        <v>158</v>
      </c>
      <c r="B15" s="6">
        <f>(DATA!AW62/2)+(DATA!AX62/2)</f>
        <v>8856.0157093778453</v>
      </c>
      <c r="C15" s="6">
        <f>(DATA!AX62/2)+(DATA!AY62/2)</f>
        <v>8882.6192160283372</v>
      </c>
      <c r="D15" s="6">
        <f>(DATA!AY62/2)+(DATA!AZ62/2)</f>
        <v>8909.302639719328</v>
      </c>
      <c r="E15" s="6">
        <f>(DATA!AZ62/2)+(DATA!BA62/2)</f>
        <v>8936.0662205219269</v>
      </c>
      <c r="F15" s="6">
        <f>(DATA!BA62/2)+(DATA!BB62/2)</f>
        <v>8962.9101992284177</v>
      </c>
      <c r="G15" s="6">
        <f>(DATA!BB62/2)+(DATA!BC62/2)</f>
        <v>8989.8348173544255</v>
      </c>
      <c r="H15" s="6">
        <f>(DATA!BC62/2)+(DATA!BD62/2)</f>
        <v>9016.8403171410919</v>
      </c>
      <c r="I15" s="6">
        <f>(DATA!BD62/2)+(DATA!BE62/2)</f>
        <v>9043.9269415572471</v>
      </c>
      <c r="J15" s="6">
        <f>(DATA!BE62/2)+(DATA!BF62/2)</f>
        <v>9071.0949343016036</v>
      </c>
      <c r="K15" s="6">
        <f>(DATA!BF62/2)+(DATA!BG62/2)</f>
        <v>9098.3445398049444</v>
      </c>
      <c r="L15" s="6">
        <f>(DATA!BG62/2)+(DATA!BH62/2)</f>
        <v>9125.6760032323255</v>
      </c>
      <c r="M15" s="6">
        <f>(DATA!BH62/2)+(DATA!BI62/2)</f>
        <v>9153.0895704852755</v>
      </c>
      <c r="N15" s="7">
        <f t="shared" ref="N15:N33" si="2">SUM(B15:M15)</f>
        <v>108045.72110875277</v>
      </c>
    </row>
    <row r="16" spans="1:14" x14ac:dyDescent="0.25">
      <c r="A16" t="s">
        <v>71</v>
      </c>
      <c r="B16" s="6">
        <f>(DATA!AW63/2)+(DATA!AX63/2)</f>
        <v>5725.5045250170988</v>
      </c>
      <c r="C16" s="6">
        <f>(DATA!AX63/2)+(DATA!AY63/2)</f>
        <v>5794.1787590803942</v>
      </c>
      <c r="D16" s="6">
        <f>(DATA!AY63/2)+(DATA!AZ63/2)</f>
        <v>5799.9729378394741</v>
      </c>
      <c r="E16" s="6">
        <f>(DATA!AZ63/2)+(DATA!BA63/2)</f>
        <v>5805.772910777313</v>
      </c>
      <c r="F16" s="6">
        <f>(DATA!BA63/2)+(DATA!BB63/2)</f>
        <v>5811.5786836880898</v>
      </c>
      <c r="G16" s="6">
        <f>(DATA!BB63/2)+(DATA!BC63/2)</f>
        <v>5817.3902623717768</v>
      </c>
      <c r="H16" s="6">
        <f>(DATA!BC63/2)+(DATA!BD63/2)</f>
        <v>5823.207652634148</v>
      </c>
      <c r="I16" s="6">
        <f>(DATA!BD63/2)+(DATA!BE63/2)</f>
        <v>5829.0308602867817</v>
      </c>
      <c r="J16" s="6">
        <f>(DATA!BE63/2)+(DATA!BF63/2)</f>
        <v>5834.8598911470681</v>
      </c>
      <c r="K16" s="6">
        <f>(DATA!BF63/2)+(DATA!BG63/2)</f>
        <v>5840.6947510382142</v>
      </c>
      <c r="L16" s="6">
        <f>(DATA!BG63/2)+(DATA!BH63/2)</f>
        <v>5846.5354457892518</v>
      </c>
      <c r="M16" s="6">
        <f>(DATA!BH63/2)+(DATA!BI63/2)</f>
        <v>5852.3819812350412</v>
      </c>
      <c r="N16" s="7">
        <f t="shared" si="2"/>
        <v>69781.108660904662</v>
      </c>
    </row>
    <row r="17" spans="1:14" x14ac:dyDescent="0.25">
      <c r="A17" t="s">
        <v>18</v>
      </c>
      <c r="B17" s="6">
        <f>(DATA!AW44/2)+(DATA!AX44/2)</f>
        <v>1917.9906145146151</v>
      </c>
      <c r="C17" s="6">
        <f>(DATA!AX44/2)+(DATA!AY44/2)</f>
        <v>1898.8107083694688</v>
      </c>
      <c r="D17" s="6">
        <f>(DATA!AY44/2)+(DATA!AZ44/2)</f>
        <v>1879.822601285774</v>
      </c>
      <c r="E17" s="6">
        <f>(DATA!AZ44/2)+(DATA!BA44/2)</f>
        <v>1861.0243752729161</v>
      </c>
      <c r="F17" s="6">
        <f>(DATA!BA44/2)+(DATA!BB44/2)</f>
        <v>1842.4141315201871</v>
      </c>
      <c r="G17" s="6">
        <f>(DATA!BB44/2)+(DATA!BC44/2)</f>
        <v>1823.9899902049851</v>
      </c>
      <c r="H17" s="6">
        <f>(DATA!BC44/2)+(DATA!BD44/2)</f>
        <v>1805.7500903029352</v>
      </c>
      <c r="I17" s="6">
        <f>(DATA!BD44/2)+(DATA!BE44/2)</f>
        <v>1787.6925893999057</v>
      </c>
      <c r="J17" s="6">
        <f>(DATA!BE44/2)+(DATA!BF44/2)</f>
        <v>1769.8156635059067</v>
      </c>
      <c r="K17" s="6">
        <f>(DATA!BF44/2)+(DATA!BG44/2)</f>
        <v>1752.1175068708476</v>
      </c>
      <c r="L17" s="6">
        <f>(DATA!BG44/2)+(DATA!BH44/2)</f>
        <v>1734.596331802139</v>
      </c>
      <c r="M17" s="6">
        <f>(DATA!BH44/2)+(DATA!BI44/2)</f>
        <v>1717.2503684841176</v>
      </c>
      <c r="N17" s="7">
        <f t="shared" si="2"/>
        <v>21791.274971533796</v>
      </c>
    </row>
    <row r="18" spans="1:14" x14ac:dyDescent="0.25">
      <c r="A18" t="s">
        <v>152</v>
      </c>
      <c r="B18" s="6">
        <f>(DATA!AW46/2)+(DATA!AX46/2)</f>
        <v>240</v>
      </c>
      <c r="C18" s="6">
        <f>(DATA!AX46/2)+(DATA!AY46/2)</f>
        <v>240</v>
      </c>
      <c r="D18" s="6">
        <f>(DATA!AY46/2)+(DATA!AZ46/2)</f>
        <v>240</v>
      </c>
      <c r="E18" s="6">
        <f>(DATA!AZ46/2)+(DATA!BA46/2)</f>
        <v>240</v>
      </c>
      <c r="F18" s="6">
        <f>(DATA!BA46/2)+(DATA!BB46/2)</f>
        <v>240</v>
      </c>
      <c r="G18" s="6">
        <f>(DATA!BB46/2)+(DATA!BC46/2)</f>
        <v>240</v>
      </c>
      <c r="H18" s="6">
        <f>(DATA!BC46/2)+(DATA!BD46/2)</f>
        <v>240</v>
      </c>
      <c r="I18" s="6">
        <f>(DATA!BD46/2)+(DATA!BE46/2)</f>
        <v>240</v>
      </c>
      <c r="J18" s="6">
        <f>(DATA!BE46/2)+(DATA!BF46/2)</f>
        <v>240</v>
      </c>
      <c r="K18" s="6">
        <f>(DATA!BF46/2)+(DATA!BG46/2)</f>
        <v>240</v>
      </c>
      <c r="L18" s="6">
        <f>(DATA!BG46/2)+(DATA!BH46/2)</f>
        <v>240</v>
      </c>
      <c r="M18" s="6">
        <f>(DATA!BH46/2)+(DATA!BI46/2)</f>
        <v>240</v>
      </c>
      <c r="N18" s="7">
        <f t="shared" si="2"/>
        <v>2880</v>
      </c>
    </row>
    <row r="19" spans="1:14" x14ac:dyDescent="0.25">
      <c r="A19" t="s">
        <v>148</v>
      </c>
      <c r="B19" s="6">
        <f>(DATA!AW47/2)+(DATA!AX47/2)</f>
        <v>200</v>
      </c>
      <c r="C19" s="6">
        <f>(DATA!AX47/2)+(DATA!AY47/2)</f>
        <v>200</v>
      </c>
      <c r="D19" s="6">
        <f>(DATA!AY47/2)+(DATA!AZ47/2)</f>
        <v>200</v>
      </c>
      <c r="E19" s="6">
        <f>(DATA!AZ47/2)+(DATA!BA47/2)</f>
        <v>200</v>
      </c>
      <c r="F19" s="6">
        <f>(DATA!BA47/2)+(DATA!BB47/2)</f>
        <v>200</v>
      </c>
      <c r="G19" s="6">
        <f>(DATA!BB47/2)+(DATA!BC47/2)</f>
        <v>200</v>
      </c>
      <c r="H19" s="6">
        <f>(DATA!BC47/2)+(DATA!BD47/2)</f>
        <v>200</v>
      </c>
      <c r="I19" s="6">
        <f>(DATA!BD47/2)+(DATA!BE47/2)</f>
        <v>200</v>
      </c>
      <c r="J19" s="6">
        <f>(DATA!BE47/2)+(DATA!BF47/2)</f>
        <v>200</v>
      </c>
      <c r="K19" s="6">
        <f>(DATA!BF47/2)+(DATA!BG47/2)</f>
        <v>200</v>
      </c>
      <c r="L19" s="6">
        <f>(DATA!BG47/2)+(DATA!BH47/2)</f>
        <v>200</v>
      </c>
      <c r="M19" s="6">
        <f>(DATA!BH47/2)+(DATA!BI47/2)</f>
        <v>200</v>
      </c>
      <c r="N19" s="7">
        <f t="shared" si="2"/>
        <v>2400</v>
      </c>
    </row>
    <row r="20" spans="1:14" x14ac:dyDescent="0.25">
      <c r="A20" t="s">
        <v>149</v>
      </c>
      <c r="B20" s="6">
        <f>(DATA!AW48/2)+(DATA!AX48/2)</f>
        <v>2005.3059505827682</v>
      </c>
      <c r="C20" s="6">
        <f>(DATA!AX48/2)+(DATA!AY48/2)</f>
        <v>2025.3590100885961</v>
      </c>
      <c r="D20" s="6">
        <f>(DATA!AY48/2)+(DATA!AZ48/2)</f>
        <v>2045.612600189482</v>
      </c>
      <c r="E20" s="6">
        <f>(DATA!AZ48/2)+(DATA!BA48/2)</f>
        <v>2066.0687261913768</v>
      </c>
      <c r="F20" s="6">
        <f>(DATA!BA48/2)+(DATA!BB48/2)</f>
        <v>2086.7294134532904</v>
      </c>
      <c r="G20" s="6">
        <f>(DATA!BB48/2)+(DATA!BC48/2)</f>
        <v>2107.5967075878234</v>
      </c>
      <c r="H20" s="6">
        <f>(DATA!BC48/2)+(DATA!BD48/2)</f>
        <v>2128.6726746637014</v>
      </c>
      <c r="I20" s="6">
        <f>(DATA!BD48/2)+(DATA!BE48/2)</f>
        <v>2149.9594014103386</v>
      </c>
      <c r="J20" s="6">
        <f>(DATA!BE48/2)+(DATA!BF48/2)</f>
        <v>2171.458995424442</v>
      </c>
      <c r="K20" s="6">
        <f>(DATA!BF48/2)+(DATA!BG48/2)</f>
        <v>2193.1735853786863</v>
      </c>
      <c r="L20" s="6">
        <f>(DATA!BG48/2)+(DATA!BH48/2)</f>
        <v>2215.1053212324732</v>
      </c>
      <c r="M20" s="6">
        <f>(DATA!BH48/2)+(DATA!BI48/2)</f>
        <v>2237.256374444798</v>
      </c>
      <c r="N20" s="7">
        <f t="shared" si="2"/>
        <v>25432.298760647776</v>
      </c>
    </row>
    <row r="21" spans="1:14" x14ac:dyDescent="0.25">
      <c r="A21" t="s">
        <v>146</v>
      </c>
      <c r="B21" s="6">
        <f>(DATA!AW50/2)+(DATA!AX50/2)</f>
        <v>6939.91</v>
      </c>
      <c r="C21" s="6">
        <f>(DATA!AX50/2)+(DATA!AY50/2)</f>
        <v>6939.91</v>
      </c>
      <c r="D21" s="6">
        <f>(DATA!AY50/2)+(DATA!AZ50/2)</f>
        <v>6939.91</v>
      </c>
      <c r="E21" s="6">
        <f>(DATA!AZ50/2)+(DATA!BA50/2)</f>
        <v>6939.91</v>
      </c>
      <c r="F21" s="6">
        <f>(DATA!BA50/2)+(DATA!BB50/2)</f>
        <v>6939.91</v>
      </c>
      <c r="G21" s="6">
        <f>(DATA!BB50/2)+(DATA!BC50/2)</f>
        <v>6939.91</v>
      </c>
      <c r="H21" s="6">
        <f>(DATA!BC50/2)+(DATA!BD50/2)</f>
        <v>6939.91</v>
      </c>
      <c r="I21" s="6">
        <f>(DATA!BD50/2)+(DATA!BE50/2)</f>
        <v>6939.91</v>
      </c>
      <c r="J21" s="6">
        <f>(DATA!BE50/2)+(DATA!BF50/2)</f>
        <v>6939.91</v>
      </c>
      <c r="K21" s="6">
        <f>(DATA!BF50/2)+(DATA!BG50/2)</f>
        <v>6939.91</v>
      </c>
      <c r="L21" s="6">
        <f>(DATA!BG50/2)+(DATA!BH50/2)</f>
        <v>6939.91</v>
      </c>
      <c r="M21" s="6">
        <f>(DATA!BH50/2)+(DATA!BI50/2)</f>
        <v>6939.91</v>
      </c>
      <c r="N21" s="7">
        <f t="shared" si="2"/>
        <v>83278.920000000027</v>
      </c>
    </row>
    <row r="22" spans="1:14" x14ac:dyDescent="0.25">
      <c r="A22" t="s">
        <v>153</v>
      </c>
      <c r="B22" s="6">
        <f>(DATA!AW51/2)+(DATA!AX51/2)</f>
        <v>100</v>
      </c>
      <c r="C22" s="6">
        <f>(DATA!AX51/2)+(DATA!AY51/2)</f>
        <v>100</v>
      </c>
      <c r="D22" s="6">
        <f>(DATA!AY51/2)+(DATA!AZ51/2)</f>
        <v>100</v>
      </c>
      <c r="E22" s="6">
        <f>(DATA!AZ51/2)+(DATA!BA51/2)</f>
        <v>100</v>
      </c>
      <c r="F22" s="6">
        <f>(DATA!BA51/2)+(DATA!BB51/2)</f>
        <v>100</v>
      </c>
      <c r="G22" s="6">
        <f>(DATA!BB51/2)+(DATA!BC51/2)</f>
        <v>100</v>
      </c>
      <c r="H22" s="6">
        <f>(DATA!BC51/2)+(DATA!BD51/2)</f>
        <v>100</v>
      </c>
      <c r="I22" s="6">
        <f>(DATA!BD51/2)+(DATA!BE51/2)</f>
        <v>100</v>
      </c>
      <c r="J22" s="6">
        <f>(DATA!BE51/2)+(DATA!BF51/2)</f>
        <v>100</v>
      </c>
      <c r="K22" s="6">
        <f>(DATA!BF51/2)+(DATA!BG51/2)</f>
        <v>100</v>
      </c>
      <c r="L22" s="6">
        <f>(DATA!BG51/2)+(DATA!BH51/2)</f>
        <v>100</v>
      </c>
      <c r="M22" s="6">
        <f>(DATA!BH51/2)+(DATA!BI51/2)</f>
        <v>100</v>
      </c>
      <c r="N22" s="7">
        <f t="shared" si="2"/>
        <v>1200</v>
      </c>
    </row>
    <row r="23" spans="1:14" x14ac:dyDescent="0.25">
      <c r="A23" t="s">
        <v>154</v>
      </c>
      <c r="B23" s="6">
        <f>(DATA!AW52/2)+(DATA!AX52/2)</f>
        <v>416.67</v>
      </c>
      <c r="C23" s="6">
        <f>(DATA!AX52/2)+(DATA!AY52/2)</f>
        <v>416.67</v>
      </c>
      <c r="D23" s="6">
        <f>(DATA!AY52/2)+(DATA!AZ52/2)</f>
        <v>416.67</v>
      </c>
      <c r="E23" s="6">
        <f>(DATA!AZ52/2)+(DATA!BA52/2)</f>
        <v>416.67</v>
      </c>
      <c r="F23" s="6">
        <f>(DATA!BA52/2)+(DATA!BB52/2)</f>
        <v>416.67</v>
      </c>
      <c r="G23" s="6">
        <f>(DATA!BB52/2)+(DATA!BC52/2)</f>
        <v>416.67</v>
      </c>
      <c r="H23" s="6">
        <f>(DATA!BC52/2)+(DATA!BD52/2)</f>
        <v>416.67</v>
      </c>
      <c r="I23" s="6">
        <f>(DATA!BD52/2)+(DATA!BE52/2)</f>
        <v>416.67</v>
      </c>
      <c r="J23" s="6">
        <f>(DATA!BE52/2)+(DATA!BF52/2)</f>
        <v>416.67</v>
      </c>
      <c r="K23" s="6">
        <f>(DATA!BF52/2)+(DATA!BG52/2)</f>
        <v>416.67</v>
      </c>
      <c r="L23" s="6">
        <f>(DATA!BG52/2)+(DATA!BH52/2)</f>
        <v>416.67</v>
      </c>
      <c r="M23" s="6">
        <f>(DATA!BH52/2)+(DATA!BI52/2)</f>
        <v>416.67</v>
      </c>
      <c r="N23" s="7">
        <f t="shared" si="2"/>
        <v>5000.04</v>
      </c>
    </row>
    <row r="24" spans="1:14" x14ac:dyDescent="0.25">
      <c r="A24" t="s">
        <v>155</v>
      </c>
      <c r="B24" s="6">
        <f>(DATA!AW53/2)+(DATA!AX53/2)</f>
        <v>250</v>
      </c>
      <c r="C24" s="6">
        <f>(DATA!AX53/2)+(DATA!AY53/2)</f>
        <v>250</v>
      </c>
      <c r="D24" s="6">
        <f>(DATA!AY53/2)+(DATA!AZ53/2)</f>
        <v>250</v>
      </c>
      <c r="E24" s="6">
        <f>(DATA!AZ53/2)+(DATA!BA53/2)</f>
        <v>250</v>
      </c>
      <c r="F24" s="6">
        <f>(DATA!BA53/2)+(DATA!BB53/2)</f>
        <v>250</v>
      </c>
      <c r="G24" s="6">
        <f>(DATA!BB53/2)+(DATA!BC53/2)</f>
        <v>250</v>
      </c>
      <c r="H24" s="6">
        <f>(DATA!BC53/2)+(DATA!BD53/2)</f>
        <v>250</v>
      </c>
      <c r="I24" s="6">
        <f>(DATA!BD53/2)+(DATA!BE53/2)</f>
        <v>250</v>
      </c>
      <c r="J24" s="6">
        <f>(DATA!BE53/2)+(DATA!BF53/2)</f>
        <v>250</v>
      </c>
      <c r="K24" s="6">
        <f>(DATA!BF53/2)+(DATA!BG53/2)</f>
        <v>250</v>
      </c>
      <c r="L24" s="6">
        <f>(DATA!BG53/2)+(DATA!BH53/2)</f>
        <v>250</v>
      </c>
      <c r="M24" s="6">
        <f>(DATA!BH53/2)+(DATA!BI53/2)</f>
        <v>250</v>
      </c>
      <c r="N24" s="7">
        <f t="shared" si="2"/>
        <v>3000</v>
      </c>
    </row>
    <row r="25" spans="1:14" s="46" customFormat="1" x14ac:dyDescent="0.25">
      <c r="A25" t="s">
        <v>156</v>
      </c>
      <c r="B25" s="47">
        <f>DATA!AX54</f>
        <v>10000</v>
      </c>
      <c r="C25" s="47">
        <f>DATA!AY54</f>
        <v>0</v>
      </c>
      <c r="D25" s="47">
        <f>DATA!AZ54</f>
        <v>0</v>
      </c>
      <c r="E25" s="47">
        <f>DATA!BA54</f>
        <v>0</v>
      </c>
      <c r="F25" s="47">
        <f>DATA!BB54</f>
        <v>0</v>
      </c>
      <c r="G25" s="47">
        <f>DATA!BC54</f>
        <v>0</v>
      </c>
      <c r="H25" s="47">
        <f>DATA!BD54</f>
        <v>0</v>
      </c>
      <c r="I25" s="47">
        <f>DATA!BE54</f>
        <v>0</v>
      </c>
      <c r="J25" s="47">
        <f>DATA!BF54</f>
        <v>0</v>
      </c>
      <c r="K25" s="47">
        <f>DATA!BG54</f>
        <v>0</v>
      </c>
      <c r="L25" s="47">
        <f>DATA!BH54</f>
        <v>0</v>
      </c>
      <c r="M25" s="47">
        <f>DATA!BI54</f>
        <v>0</v>
      </c>
      <c r="N25" s="48">
        <f t="shared" si="2"/>
        <v>10000</v>
      </c>
    </row>
    <row r="26" spans="1:14" x14ac:dyDescent="0.25">
      <c r="A26" t="s">
        <v>56</v>
      </c>
      <c r="B26" s="6">
        <f>LoanModule!D57</f>
        <v>543.88367706360191</v>
      </c>
      <c r="C26" s="6">
        <f>LoanModule!D58</f>
        <v>500.19798157106067</v>
      </c>
      <c r="D26" s="6">
        <f>LoanModule!D59</f>
        <v>456.22104810856916</v>
      </c>
      <c r="E26" s="6">
        <f>LoanModule!D60</f>
        <v>411.95093508966102</v>
      </c>
      <c r="F26" s="6">
        <f>LoanModule!D61</f>
        <v>367.38568798396022</v>
      </c>
      <c r="G26" s="6">
        <f>LoanModule!D62</f>
        <v>322.52333923088798</v>
      </c>
      <c r="H26" s="6">
        <f>LoanModule!D63</f>
        <v>277.36190815279531</v>
      </c>
      <c r="I26" s="6">
        <f>LoanModule!D64</f>
        <v>231.89940086751537</v>
      </c>
      <c r="J26" s="6">
        <f>LoanModule!D65</f>
        <v>186.13381020033353</v>
      </c>
      <c r="K26" s="6">
        <f>LoanModule!D66</f>
        <v>140.06311559537053</v>
      </c>
      <c r="L26" s="6">
        <f>LoanModule!D67</f>
        <v>93.685283026374407</v>
      </c>
      <c r="M26" s="6">
        <f>LoanModule!D68</f>
        <v>46.998264906918315</v>
      </c>
      <c r="N26" s="7">
        <f t="shared" si="2"/>
        <v>3578.3044517970488</v>
      </c>
    </row>
    <row r="27" spans="1:14" x14ac:dyDescent="0.25">
      <c r="A27" t="s">
        <v>72</v>
      </c>
      <c r="B27" s="6">
        <f>LoanModule!E57</f>
        <v>6552.8543238811862</v>
      </c>
      <c r="C27" s="6">
        <f>LoanModule!E58</f>
        <v>6596.5400193737269</v>
      </c>
      <c r="D27" s="6">
        <f>LoanModule!E59</f>
        <v>6640.5169528362185</v>
      </c>
      <c r="E27" s="6">
        <f>LoanModule!E60</f>
        <v>6684.7870658551274</v>
      </c>
      <c r="F27" s="6">
        <f>LoanModule!E61</f>
        <v>6729.3523129608275</v>
      </c>
      <c r="G27" s="6">
        <f>LoanModule!E62</f>
        <v>6774.2146617138997</v>
      </c>
      <c r="H27" s="6">
        <f>LoanModule!E63</f>
        <v>6819.376092791993</v>
      </c>
      <c r="I27" s="6">
        <f>LoanModule!E64</f>
        <v>6864.8386000772725</v>
      </c>
      <c r="J27" s="6">
        <f>LoanModule!E65</f>
        <v>6910.6041907444542</v>
      </c>
      <c r="K27" s="6">
        <f>LoanModule!E66</f>
        <v>6956.6748853494173</v>
      </c>
      <c r="L27" s="6">
        <f>LoanModule!E67</f>
        <v>7003.0527179184137</v>
      </c>
      <c r="M27" s="6">
        <f>LoanModule!E68</f>
        <v>7049.73973603787</v>
      </c>
      <c r="N27" s="7">
        <f t="shared" si="2"/>
        <v>81582.551559540399</v>
      </c>
    </row>
    <row r="28" spans="1:14" x14ac:dyDescent="0.25">
      <c r="A28" t="s">
        <v>16</v>
      </c>
      <c r="B28" s="6">
        <f>DATA!AX40</f>
        <v>0</v>
      </c>
      <c r="C28" s="6">
        <f>DATA!AY40</f>
        <v>0</v>
      </c>
      <c r="D28" s="6">
        <f>DATA!AZ40</f>
        <v>0</v>
      </c>
      <c r="E28" s="6">
        <f>DATA!BA40</f>
        <v>0</v>
      </c>
      <c r="F28" s="6">
        <f>DATA!BB40</f>
        <v>0</v>
      </c>
      <c r="G28" s="6">
        <f>DATA!BC40</f>
        <v>0</v>
      </c>
      <c r="H28" s="6">
        <f>DATA!BD40</f>
        <v>0</v>
      </c>
      <c r="I28" s="6">
        <f>DATA!BE40</f>
        <v>0</v>
      </c>
      <c r="J28" s="6">
        <f>DATA!BF40</f>
        <v>0</v>
      </c>
      <c r="K28" s="6">
        <f>DATA!BG40</f>
        <v>0</v>
      </c>
      <c r="L28" s="6">
        <f>DATA!BH40</f>
        <v>0</v>
      </c>
      <c r="M28" s="6">
        <f>DATA!BI40</f>
        <v>0</v>
      </c>
      <c r="N28" s="7">
        <f t="shared" si="2"/>
        <v>0</v>
      </c>
    </row>
    <row r="29" spans="1:14" x14ac:dyDescent="0.25">
      <c r="A29" t="s">
        <v>73</v>
      </c>
      <c r="B29" s="6">
        <f>IF(DATA!E19=B5,DATA!B19,0)+IF(DATA!E22=B5,DATA!B22,0)</f>
        <v>0</v>
      </c>
      <c r="C29" s="6">
        <f>IF(DATA!E19=C5,DATA!B19,0)+IF(DATA!E22=C5,DATA!B22,0)</f>
        <v>0</v>
      </c>
      <c r="D29" s="6">
        <f>IF(DATA!E19=D5,DATA!B19,0)+IF(DATA!E22=D5,DATA!B22,0)</f>
        <v>0</v>
      </c>
      <c r="E29" s="6">
        <f>IF(DATA!E19=E5,DATA!B19,0)+IF(DATA!E22=E5,DATA!B22,0)</f>
        <v>0</v>
      </c>
      <c r="F29" s="6">
        <f>IF(DATA!E19=F5,DATA!B19,0)+IF(DATA!E22=F5,DATA!B22,0)</f>
        <v>0</v>
      </c>
      <c r="G29" s="6">
        <f>IF(DATA!E19=G5,DATA!B19,0)+IF(DATA!E22=G5,DATA!B22,0)</f>
        <v>0</v>
      </c>
      <c r="H29" s="6">
        <f>IF(DATA!E19=H5,DATA!B19,0)+IF(DATA!E22=H5,DATA!B22,0)</f>
        <v>0</v>
      </c>
      <c r="I29" s="6">
        <f>IF(DATA!E19=I5,DATA!B19,0)+IF(DATA!E22=I5,DATA!B22,0)</f>
        <v>0</v>
      </c>
      <c r="J29" s="6">
        <f>IF(DATA!E19=J5,DATA!B19,0)+IF(DATA!E22=J5,DATA!B22,0)</f>
        <v>0</v>
      </c>
      <c r="K29" s="6">
        <f>IF(DATA!E19=K5,DATA!B19,0)+IF(DATA!E22=K5,DATA!B22,0)</f>
        <v>0</v>
      </c>
      <c r="L29" s="6">
        <f>IF(DATA!E19=L5,DATA!B19,0)+IF(DATA!E22=L5,DATA!B22,0)</f>
        <v>0</v>
      </c>
      <c r="M29" s="6">
        <f>IF(DATA!E19=M5,DATA!B19,0)+IF(DATA!E22=M5,DATA!B22,0)</f>
        <v>0</v>
      </c>
      <c r="N29" s="7">
        <f t="shared" si="2"/>
        <v>0</v>
      </c>
    </row>
    <row r="30" spans="1:14" x14ac:dyDescent="0.25">
      <c r="A30" t="s">
        <v>74</v>
      </c>
      <c r="B30" s="6">
        <f>((DATA!$B$56*DATA!AW61)/2)+((DATA!$B$56*DATA!AX61)/2)</f>
        <v>0</v>
      </c>
      <c r="C30" s="6">
        <f>((DATA!$B$56*DATA!AX61)/2)+((DATA!$B$56*DATA!AY61)/2)</f>
        <v>0</v>
      </c>
      <c r="D30" s="6">
        <f>((DATA!$B$56*DATA!AY61)/2)+((DATA!$B$56*DATA!AZ61)/2)</f>
        <v>0</v>
      </c>
      <c r="E30" s="6">
        <f>((DATA!$B$56*DATA!AZ61)/2)+((DATA!$B$56*DATA!BA61)/2)</f>
        <v>0</v>
      </c>
      <c r="F30" s="6">
        <f>((DATA!$B$56*DATA!BA61)/2)+((DATA!$B$56*DATA!BB61)/2)</f>
        <v>0</v>
      </c>
      <c r="G30" s="6">
        <f>((DATA!$B$56*DATA!BB61)/2)+((DATA!$B$56*DATA!BC61)/2)</f>
        <v>0</v>
      </c>
      <c r="H30" s="6">
        <f>((DATA!$B$56*DATA!BC61)/2)+((DATA!$B$56*DATA!BD61)/2)</f>
        <v>0</v>
      </c>
      <c r="I30" s="6">
        <f>((DATA!$B$56*DATA!BD61)/2)+((DATA!$B$56*DATA!BE61)/2)</f>
        <v>0</v>
      </c>
      <c r="J30" s="6">
        <f>((DATA!$B$56*DATA!BE61)/2)+((DATA!$B$56*DATA!BF61)/2)</f>
        <v>0</v>
      </c>
      <c r="K30" s="6">
        <f>((DATA!$B$56*DATA!BF61)/2)+((DATA!$B$56*DATA!BG61)/2)</f>
        <v>0</v>
      </c>
      <c r="L30" s="6">
        <f>((DATA!$B$56*DATA!BG61)/2)+((DATA!$B$56*DATA!BH61)/2)</f>
        <v>0</v>
      </c>
      <c r="M30" s="6">
        <f>((DATA!$B$56*DATA!BH61)/2)+((DATA!$B$56*DATA!BI61)/2)</f>
        <v>0</v>
      </c>
      <c r="N30" s="7">
        <f t="shared" si="2"/>
        <v>0</v>
      </c>
    </row>
    <row r="31" spans="1:14" x14ac:dyDescent="0.25">
      <c r="A31" t="s">
        <v>61</v>
      </c>
      <c r="B31" s="6">
        <f>IncomeStatement_Year5!B35</f>
        <v>2208.899095843723</v>
      </c>
      <c r="C31" s="6">
        <f>IncomeStatement_Year5!C35</f>
        <v>2208.899095843723</v>
      </c>
      <c r="D31" s="6">
        <f>IncomeStatement_Year5!D35</f>
        <v>2208.899095843723</v>
      </c>
      <c r="E31" s="6">
        <f>IncomeStatement_Year5!E35</f>
        <v>2208.899095843723</v>
      </c>
      <c r="F31" s="6">
        <f>IncomeStatement_Year5!F35</f>
        <v>2208.899095843723</v>
      </c>
      <c r="G31" s="6">
        <f>IncomeStatement_Year5!G35</f>
        <v>2208.899095843723</v>
      </c>
      <c r="H31" s="6">
        <f>IncomeStatement_Year5!H35</f>
        <v>2208.899095843723</v>
      </c>
      <c r="I31" s="6">
        <f>IncomeStatement_Year5!I35</f>
        <v>2208.899095843723</v>
      </c>
      <c r="J31" s="6">
        <f>IncomeStatement_Year5!J35</f>
        <v>2208.899095843723</v>
      </c>
      <c r="K31" s="6">
        <f>IncomeStatement_Year5!K35</f>
        <v>2208.899095843723</v>
      </c>
      <c r="L31" s="6">
        <f>IncomeStatement_Year5!L35</f>
        <v>2208.899095843723</v>
      </c>
      <c r="M31" s="6">
        <f>IncomeStatement_Year5!M35</f>
        <v>2208.899095843723</v>
      </c>
      <c r="N31" s="7">
        <f t="shared" si="2"/>
        <v>26506.789150124681</v>
      </c>
    </row>
    <row r="32" spans="1:14" hidden="1" x14ac:dyDescent="0.25">
      <c r="A32" t="s">
        <v>75</v>
      </c>
      <c r="B32" s="6">
        <f>IncomeStatement_Year4!M10*DATA!B3-IncomeStatement_Year5!B10*DATA!B3</f>
        <v>0</v>
      </c>
      <c r="C32" s="6">
        <f>IncomeStatement_Year5!B10*DATA!$B$3-IncomeStatement_Year5!C10*DATA!$B$3</f>
        <v>0</v>
      </c>
      <c r="D32" s="6">
        <f>IncomeStatement_Year5!C10*DATA!$B$3-IncomeStatement_Year5!D10*DATA!$B$3</f>
        <v>0</v>
      </c>
      <c r="E32" s="6">
        <f>IncomeStatement_Year5!D10*DATA!$B$3-IncomeStatement_Year5!E10*DATA!$B$3</f>
        <v>0</v>
      </c>
      <c r="F32" s="6">
        <f>IncomeStatement_Year5!E10*DATA!$B$3-IncomeStatement_Year5!F10*DATA!$B$3</f>
        <v>0</v>
      </c>
      <c r="G32" s="6">
        <f>IncomeStatement_Year5!F10*DATA!$B$3-IncomeStatement_Year5!G10*DATA!$B$3</f>
        <v>0</v>
      </c>
      <c r="H32" s="6">
        <f>IncomeStatement_Year5!G10*DATA!$B$3-IncomeStatement_Year5!H10*DATA!$B$3</f>
        <v>0</v>
      </c>
      <c r="I32" s="6">
        <f>IncomeStatement_Year5!H10*DATA!$B$3-IncomeStatement_Year5!I10*DATA!$B$3</f>
        <v>0</v>
      </c>
      <c r="J32" s="6">
        <f>IncomeStatement_Year5!I10*DATA!$B$3-IncomeStatement_Year5!J10*DATA!$B$3</f>
        <v>0</v>
      </c>
      <c r="K32" s="6">
        <f>IncomeStatement_Year5!J10*DATA!$B$3-IncomeStatement_Year5!K10*DATA!$B$3</f>
        <v>0</v>
      </c>
      <c r="L32" s="6">
        <f>IncomeStatement_Year5!K10*DATA!$B$3-IncomeStatement_Year5!L10*DATA!$B$3</f>
        <v>0</v>
      </c>
      <c r="M32" s="6">
        <f>IncomeStatement_Year5!L10*DATA!$B$3-IncomeStatement_Year5!M10*DATA!$B$3</f>
        <v>0</v>
      </c>
      <c r="N32" s="7">
        <f t="shared" si="2"/>
        <v>0</v>
      </c>
    </row>
    <row r="33" spans="1:14" x14ac:dyDescent="0.25">
      <c r="A33" s="4" t="s">
        <v>76</v>
      </c>
      <c r="B33" s="9">
        <f t="shared" ref="B33:M33" si="3">SUM(B15:B31)-B32</f>
        <v>45957.033896280838</v>
      </c>
      <c r="C33" s="9">
        <f t="shared" si="3"/>
        <v>36053.184790355306</v>
      </c>
      <c r="D33" s="9">
        <f t="shared" si="3"/>
        <v>36086.927875822563</v>
      </c>
      <c r="E33" s="9">
        <f t="shared" si="3"/>
        <v>36121.149329552041</v>
      </c>
      <c r="F33" s="9">
        <f t="shared" si="3"/>
        <v>36155.849524678488</v>
      </c>
      <c r="G33" s="9">
        <f t="shared" si="3"/>
        <v>36191.028874307514</v>
      </c>
      <c r="H33" s="9">
        <f t="shared" si="3"/>
        <v>36226.687831530377</v>
      </c>
      <c r="I33" s="9">
        <f t="shared" si="3"/>
        <v>36262.826889442782</v>
      </c>
      <c r="J33" s="9">
        <f t="shared" si="3"/>
        <v>36299.446581167525</v>
      </c>
      <c r="K33" s="9">
        <f t="shared" si="3"/>
        <v>36336.547479881199</v>
      </c>
      <c r="L33" s="9">
        <f t="shared" si="3"/>
        <v>36374.130198844694</v>
      </c>
      <c r="M33" s="9">
        <f t="shared" si="3"/>
        <v>36412.195391437737</v>
      </c>
      <c r="N33" s="9">
        <f t="shared" si="2"/>
        <v>444477.00866330112</v>
      </c>
    </row>
    <row r="35" spans="1:14" x14ac:dyDescent="0.25">
      <c r="A35" s="4" t="s">
        <v>77</v>
      </c>
      <c r="B35" s="10">
        <f t="shared" ref="B35:M35" si="4">B12-B33</f>
        <v>-1048.2183241361563</v>
      </c>
      <c r="C35" s="10">
        <f t="shared" si="4"/>
        <v>8945.4933217492289</v>
      </c>
      <c r="D35" s="10">
        <f t="shared" si="4"/>
        <v>9001.7925911842831</v>
      </c>
      <c r="E35" s="10">
        <f t="shared" si="4"/>
        <v>9057.7936671092757</v>
      </c>
      <c r="F35" s="10">
        <f t="shared" si="4"/>
        <v>9113.4965369191414</v>
      </c>
      <c r="G35" s="10">
        <f t="shared" si="4"/>
        <v>9168.9011487593598</v>
      </c>
      <c r="H35" s="10">
        <f t="shared" si="4"/>
        <v>9224.0074115126408</v>
      </c>
      <c r="I35" s="10">
        <f t="shared" si="4"/>
        <v>9278.8151947815568</v>
      </c>
      <c r="J35" s="10">
        <f t="shared" si="4"/>
        <v>9333.3243288673402</v>
      </c>
      <c r="K35" s="10">
        <f t="shared" si="4"/>
        <v>9387.5346047446365</v>
      </c>
      <c r="L35" s="10">
        <f t="shared" si="4"/>
        <v>9441.4457740324651</v>
      </c>
      <c r="M35" s="10">
        <f t="shared" si="4"/>
        <v>9495.0575489611438</v>
      </c>
      <c r="N35" s="10">
        <f>SUM(B35:M35)</f>
        <v>100399.44380448491</v>
      </c>
    </row>
    <row r="37" spans="1:14" x14ac:dyDescent="0.25">
      <c r="A37" s="4" t="s">
        <v>78</v>
      </c>
      <c r="B37" s="7">
        <f>B35</f>
        <v>-1048.2183241361563</v>
      </c>
      <c r="C37" s="7">
        <f t="shared" ref="C37:M37" si="5">B37+C35</f>
        <v>7897.2749976130726</v>
      </c>
      <c r="D37" s="7">
        <f t="shared" si="5"/>
        <v>16899.067588797356</v>
      </c>
      <c r="E37" s="7">
        <f t="shared" si="5"/>
        <v>25956.861255906631</v>
      </c>
      <c r="F37" s="7">
        <f t="shared" si="5"/>
        <v>35070.357792825773</v>
      </c>
      <c r="G37" s="7">
        <f t="shared" si="5"/>
        <v>44239.258941585133</v>
      </c>
      <c r="H37" s="7">
        <f t="shared" si="5"/>
        <v>53463.266353097773</v>
      </c>
      <c r="I37" s="7">
        <f t="shared" si="5"/>
        <v>62742.08154787933</v>
      </c>
      <c r="J37" s="7">
        <f t="shared" si="5"/>
        <v>72075.405876746663</v>
      </c>
      <c r="K37" s="7">
        <f t="shared" si="5"/>
        <v>81462.9404814913</v>
      </c>
      <c r="L37" s="7">
        <f t="shared" si="5"/>
        <v>90904.386255523772</v>
      </c>
      <c r="M37" s="7">
        <f t="shared" si="5"/>
        <v>100399.44380448491</v>
      </c>
      <c r="N37" s="7">
        <f>M37</f>
        <v>100399.44380448491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9" workbookViewId="0">
      <selection activeCell="A11" sqref="A11:XFD11"/>
    </sheetView>
  </sheetViews>
  <sheetFormatPr defaultColWidth="8.85546875" defaultRowHeight="15" x14ac:dyDescent="0.25"/>
  <cols>
    <col min="1" max="1" width="34.140625" bestFit="1" customWidth="1"/>
    <col min="2" max="14" width="11.71093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79</v>
      </c>
    </row>
    <row r="3" spans="1:14" x14ac:dyDescent="0.25">
      <c r="A3" t="s">
        <v>50</v>
      </c>
    </row>
    <row r="5" spans="1:14" x14ac:dyDescent="0.25">
      <c r="A5" t="s">
        <v>80</v>
      </c>
      <c r="B5" s="13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x14ac:dyDescent="0.25">
      <c r="B6" s="13"/>
    </row>
    <row r="7" spans="1:14" x14ac:dyDescent="0.25">
      <c r="A7" t="s">
        <v>81</v>
      </c>
      <c r="B7" s="13"/>
    </row>
    <row r="8" spans="1:14" x14ac:dyDescent="0.25">
      <c r="A8" t="s">
        <v>82</v>
      </c>
      <c r="B8" s="13"/>
    </row>
    <row r="9" spans="1:14" x14ac:dyDescent="0.25">
      <c r="A9" t="s">
        <v>83</v>
      </c>
      <c r="B9" s="12">
        <f>StartupCosts!B2</f>
        <v>50000</v>
      </c>
      <c r="C9" s="12">
        <f>CashFlowStatement_Year1!C7+CashFlowStatement_Year1!C35</f>
        <v>-40456.022971671657</v>
      </c>
      <c r="D9" s="12">
        <f>CashFlowStatement_Year1!D7+CashFlowStatement_Year1!D35</f>
        <v>-33439.293018718723</v>
      </c>
      <c r="E9" s="12">
        <f>CashFlowStatement_Year1!E7+CashFlowStatement_Year1!E35</f>
        <v>-26350.708900589554</v>
      </c>
      <c r="F9" s="12">
        <f>CashFlowStatement_Year1!F7+CashFlowStatement_Year1!F35</f>
        <v>-19190.61460764685</v>
      </c>
      <c r="G9" s="12">
        <f>CashFlowStatement_Year1!G7+CashFlowStatement_Year1!G35</f>
        <v>-11959.352196463413</v>
      </c>
      <c r="H9" s="12">
        <f>CashFlowStatement_Year1!H7+CashFlowStatement_Year1!H35</f>
        <v>-4657.2618331211343</v>
      </c>
      <c r="I9" s="12">
        <f>CashFlowStatement_Year1!I7+CashFlowStatement_Year1!I35</f>
        <v>2715.3181636715744</v>
      </c>
      <c r="J9" s="12">
        <f>CashFlowStatement_Year1!J7+CashFlowStatement_Year1!J35</f>
        <v>10158.051279639316</v>
      </c>
      <c r="K9" s="12">
        <f>CashFlowStatement_Year1!K7+CashFlowStatement_Year1!K35</f>
        <v>17670.602762172042</v>
      </c>
      <c r="L9" s="12">
        <f>CashFlowStatement_Year1!L7+CashFlowStatement_Year1!L35</f>
        <v>25252.639577725859</v>
      </c>
      <c r="M9" s="12">
        <f>CashFlowStatement_Year1!M7+CashFlowStatement_Year1!M35</f>
        <v>32903.830369387935</v>
      </c>
      <c r="N9" s="12">
        <f>CashFlowStatement_Year1!N7+CashFlowStatement_Year1!N35</f>
        <v>40623.845414601361</v>
      </c>
    </row>
    <row r="10" spans="1:14" x14ac:dyDescent="0.25">
      <c r="A10" t="s">
        <v>84</v>
      </c>
      <c r="B10" s="12">
        <f>0</f>
        <v>0</v>
      </c>
      <c r="C10" s="12">
        <f>IncomeStatement_Year1!B8-CashFlowStatement_Year1!C10</f>
        <v>0</v>
      </c>
      <c r="D10" s="12">
        <f>IncomeStatement_Year1!C8-CashFlowStatement_Year1!D10+C10</f>
        <v>0</v>
      </c>
      <c r="E10" s="12">
        <f>IncomeStatement_Year1!D8-CashFlowStatement_Year1!E10+D10</f>
        <v>0</v>
      </c>
      <c r="F10" s="12">
        <f>IncomeStatement_Year1!E8-CashFlowStatement_Year1!F10+E10</f>
        <v>0</v>
      </c>
      <c r="G10" s="12">
        <f>IncomeStatement_Year1!F8-CashFlowStatement_Year1!G10+F10</f>
        <v>0</v>
      </c>
      <c r="H10" s="12">
        <f>IncomeStatement_Year1!G8-CashFlowStatement_Year1!H10+G10</f>
        <v>0</v>
      </c>
      <c r="I10" s="12">
        <f>IncomeStatement_Year1!H8-CashFlowStatement_Year1!I10+H10</f>
        <v>0</v>
      </c>
      <c r="J10" s="12">
        <f>IncomeStatement_Year1!I8-CashFlowStatement_Year1!J10+I10</f>
        <v>0</v>
      </c>
      <c r="K10" s="12">
        <f>IncomeStatement_Year1!J8-CashFlowStatement_Year1!K10+J10</f>
        <v>0</v>
      </c>
      <c r="L10" s="12">
        <f>IncomeStatement_Year1!K8-CashFlowStatement_Year1!L10+K10</f>
        <v>0</v>
      </c>
      <c r="M10" s="12">
        <f>IncomeStatement_Year1!L8-CashFlowStatement_Year1!M10+L10</f>
        <v>0</v>
      </c>
      <c r="N10" s="12">
        <f>IncomeStatement_Year1!M8-CashFlowStatement_Year1!N10+M10</f>
        <v>0</v>
      </c>
    </row>
    <row r="11" spans="1:14" hidden="1" x14ac:dyDescent="0.25">
      <c r="A11" t="s">
        <v>85</v>
      </c>
      <c r="B11" s="12">
        <f>StartupCosts!B5</f>
        <v>0</v>
      </c>
      <c r="C11" s="12">
        <f>IncomeStatement_Year1!B10*DATA!B3</f>
        <v>0</v>
      </c>
      <c r="D11" s="12">
        <f>IncomeStatement_Year1!C10*DATA!B3</f>
        <v>0</v>
      </c>
      <c r="E11" s="12">
        <f>IncomeStatement_Year1!D10*DATA!B3</f>
        <v>0</v>
      </c>
      <c r="F11" s="12">
        <f>IncomeStatement_Year1!E10*DATA!B3</f>
        <v>0</v>
      </c>
      <c r="G11" s="12">
        <f>IncomeStatement_Year1!F10*DATA!B3</f>
        <v>0</v>
      </c>
      <c r="H11" s="12">
        <f>IncomeStatement_Year1!G10*DATA!B3</f>
        <v>0</v>
      </c>
      <c r="I11" s="12">
        <f>IncomeStatement_Year1!H10*DATA!B3</f>
        <v>0</v>
      </c>
      <c r="J11" s="12">
        <f>IncomeStatement_Year1!I10*DATA!B3</f>
        <v>0</v>
      </c>
      <c r="K11" s="12">
        <f>IncomeStatement_Year1!J10*DATA!B3</f>
        <v>0</v>
      </c>
      <c r="L11" s="12">
        <f>IncomeStatement_Year1!K10*DATA!B3</f>
        <v>0</v>
      </c>
      <c r="M11" s="12">
        <f>IncomeStatement_Year1!L10*DATA!B3</f>
        <v>0</v>
      </c>
      <c r="N11" s="12">
        <f>IncomeStatement_Year1!M10*DATA!B3</f>
        <v>0</v>
      </c>
    </row>
    <row r="12" spans="1:14" x14ac:dyDescent="0.25">
      <c r="A12" s="4" t="s">
        <v>86</v>
      </c>
      <c r="B12" s="14">
        <f t="shared" ref="B12:N12" si="0">SUM(B9:B11)</f>
        <v>50000</v>
      </c>
      <c r="C12" s="14">
        <f t="shared" si="0"/>
        <v>-40456.022971671657</v>
      </c>
      <c r="D12" s="14">
        <f t="shared" si="0"/>
        <v>-33439.293018718723</v>
      </c>
      <c r="E12" s="14">
        <f t="shared" si="0"/>
        <v>-26350.708900589554</v>
      </c>
      <c r="F12" s="14">
        <f t="shared" si="0"/>
        <v>-19190.61460764685</v>
      </c>
      <c r="G12" s="14">
        <f t="shared" si="0"/>
        <v>-11959.352196463413</v>
      </c>
      <c r="H12" s="14">
        <f t="shared" si="0"/>
        <v>-4657.2618331211343</v>
      </c>
      <c r="I12" s="14">
        <f t="shared" si="0"/>
        <v>2715.3181636715744</v>
      </c>
      <c r="J12" s="14">
        <f t="shared" si="0"/>
        <v>10158.051279639316</v>
      </c>
      <c r="K12" s="14">
        <f t="shared" si="0"/>
        <v>17670.602762172042</v>
      </c>
      <c r="L12" s="14">
        <f t="shared" si="0"/>
        <v>25252.639577725859</v>
      </c>
      <c r="M12" s="14">
        <f t="shared" si="0"/>
        <v>32903.830369387935</v>
      </c>
      <c r="N12" s="14">
        <f t="shared" si="0"/>
        <v>40623.845414601361</v>
      </c>
    </row>
    <row r="13" spans="1:14" x14ac:dyDescent="0.25">
      <c r="B13" s="13"/>
    </row>
    <row r="14" spans="1:14" x14ac:dyDescent="0.25">
      <c r="A14" t="s">
        <v>87</v>
      </c>
      <c r="B14" s="13"/>
    </row>
    <row r="15" spans="1:14" x14ac:dyDescent="0.25">
      <c r="A15" t="s">
        <v>167</v>
      </c>
      <c r="B15" s="12">
        <f>IF(B5=DATA!E19,DATA!B19,0)</f>
        <v>0</v>
      </c>
      <c r="C15" s="12">
        <f>IF(C5=DATA!E19,DATA!B19,0)+B15</f>
        <v>300000</v>
      </c>
      <c r="D15" s="12">
        <f>IF(D5=DATA!E19,DATA!B19,0)+C15</f>
        <v>300000</v>
      </c>
      <c r="E15" s="12">
        <f>IF(E5=DATA!E19,DATA!B19,0)+D15</f>
        <v>300000</v>
      </c>
      <c r="F15" s="12">
        <f>IF(F5=DATA!E19,DATA!B19,0)+E15</f>
        <v>300000</v>
      </c>
      <c r="G15" s="12">
        <f>IF(G5=DATA!E19,DATA!B19,0)+F15</f>
        <v>300000</v>
      </c>
      <c r="H15" s="12">
        <f>IF(H5=DATA!E19,DATA!B19,0)+G15</f>
        <v>300000</v>
      </c>
      <c r="I15" s="12">
        <f>IF(I5=DATA!E19,DATA!B19,0)+H15</f>
        <v>300000</v>
      </c>
      <c r="J15" s="12">
        <f>IF(J5=DATA!E19,DATA!B19,0)+I15</f>
        <v>300000</v>
      </c>
      <c r="K15" s="12">
        <f>IF(K5=DATA!E19,DATA!B19,0)+J15</f>
        <v>300000</v>
      </c>
      <c r="L15" s="12">
        <f>IF(L5=DATA!E19,DATA!B19,0)+K15</f>
        <v>300000</v>
      </c>
      <c r="M15" s="12">
        <f>IF(M5=DATA!E19,DATA!B19,0)+L15</f>
        <v>300000</v>
      </c>
      <c r="N15" s="12">
        <f>IF(N5=DATA!E19,DATA!B19,0)+M15</f>
        <v>300000</v>
      </c>
    </row>
    <row r="16" spans="1:14" x14ac:dyDescent="0.25">
      <c r="A16" t="s">
        <v>168</v>
      </c>
      <c r="B16" s="12">
        <f>IF(B5=DATA!E22,DATA!B22,0)</f>
        <v>0</v>
      </c>
      <c r="C16" s="12">
        <f>IF(C5=DATA!E22,DATA!B22,0)+B16</f>
        <v>150000</v>
      </c>
      <c r="D16" s="12">
        <f>IF(D5=DATA!E22,DATA!B22,0)+C16</f>
        <v>150000</v>
      </c>
      <c r="E16" s="12">
        <f>IF(E5=DATA!E22,DATA!B22,0)+D16</f>
        <v>150000</v>
      </c>
      <c r="F16" s="12">
        <f>IF(F5=DATA!E22,DATA!B22,0)+E16</f>
        <v>150000</v>
      </c>
      <c r="G16" s="12">
        <f>IF(G5=DATA!E22,DATA!B22,0)+F16</f>
        <v>150000</v>
      </c>
      <c r="H16" s="12">
        <f>IF(H5=DATA!E22,DATA!B22,0)+G16</f>
        <v>150000</v>
      </c>
      <c r="I16" s="12">
        <f>IF(I5=DATA!E22,DATA!B22,0)+H16</f>
        <v>150000</v>
      </c>
      <c r="J16" s="12">
        <f>IF(J5=DATA!E22,DATA!B22,0)+I16</f>
        <v>150000</v>
      </c>
      <c r="K16" s="12">
        <f>IF(K5=DATA!E22,DATA!B22,0)+J16</f>
        <v>150000</v>
      </c>
      <c r="L16" s="12">
        <f>IF(L5=DATA!E22,DATA!B22,0)+K16</f>
        <v>150000</v>
      </c>
      <c r="M16" s="12">
        <f>IF(M5=DATA!E22,DATA!B22,0)+L16</f>
        <v>150000</v>
      </c>
      <c r="N16" s="12">
        <f>IF(N5=DATA!E22,DATA!B22,0)+M16</f>
        <v>150000</v>
      </c>
    </row>
    <row r="17" spans="1:14" x14ac:dyDescent="0.25">
      <c r="A17" t="s">
        <v>88</v>
      </c>
      <c r="B17" s="12">
        <f>0</f>
        <v>0</v>
      </c>
      <c r="C17" s="12">
        <f>-(IncomeStatement_Year1!B30-B17)</f>
        <v>-2625</v>
      </c>
      <c r="D17" s="12">
        <f>-(IncomeStatement_Year1!C30-C17)</f>
        <v>-5250</v>
      </c>
      <c r="E17" s="12">
        <f>-(IncomeStatement_Year1!D30-D17)</f>
        <v>-7875</v>
      </c>
      <c r="F17" s="12">
        <f>-(IncomeStatement_Year1!E30-E17)</f>
        <v>-10500</v>
      </c>
      <c r="G17" s="12">
        <f>-(IncomeStatement_Year1!F30-F17)</f>
        <v>-13125</v>
      </c>
      <c r="H17" s="12">
        <f>-(IncomeStatement_Year1!G30-G17)</f>
        <v>-15750</v>
      </c>
      <c r="I17" s="12">
        <f>-(IncomeStatement_Year1!H30-H17)</f>
        <v>-18375</v>
      </c>
      <c r="J17" s="12">
        <f>-(IncomeStatement_Year1!I30-I17)</f>
        <v>-21000</v>
      </c>
      <c r="K17" s="12">
        <f>-(IncomeStatement_Year1!J30-J17)</f>
        <v>-23625</v>
      </c>
      <c r="L17" s="12">
        <f>-(IncomeStatement_Year1!K30-K17)</f>
        <v>-26250</v>
      </c>
      <c r="M17" s="12">
        <f>-(IncomeStatement_Year1!L30-L17)</f>
        <v>-28875</v>
      </c>
      <c r="N17" s="12">
        <f>-(IncomeStatement_Year1!M30-M17)</f>
        <v>-31500</v>
      </c>
    </row>
    <row r="18" spans="1:14" x14ac:dyDescent="0.25">
      <c r="A18" s="4" t="s">
        <v>89</v>
      </c>
      <c r="B18" s="14">
        <f t="shared" ref="B18:N18" si="1">SUM(B15:B17)</f>
        <v>0</v>
      </c>
      <c r="C18" s="14">
        <f t="shared" si="1"/>
        <v>447375</v>
      </c>
      <c r="D18" s="14">
        <f t="shared" si="1"/>
        <v>444750</v>
      </c>
      <c r="E18" s="14">
        <f t="shared" si="1"/>
        <v>442125</v>
      </c>
      <c r="F18" s="14">
        <f t="shared" si="1"/>
        <v>439500</v>
      </c>
      <c r="G18" s="14">
        <f t="shared" si="1"/>
        <v>436875</v>
      </c>
      <c r="H18" s="14">
        <f t="shared" si="1"/>
        <v>434250</v>
      </c>
      <c r="I18" s="14">
        <f t="shared" si="1"/>
        <v>431625</v>
      </c>
      <c r="J18" s="14">
        <f t="shared" si="1"/>
        <v>429000</v>
      </c>
      <c r="K18" s="14">
        <f t="shared" si="1"/>
        <v>426375</v>
      </c>
      <c r="L18" s="14">
        <f t="shared" si="1"/>
        <v>423750</v>
      </c>
      <c r="M18" s="14">
        <f t="shared" si="1"/>
        <v>421125</v>
      </c>
      <c r="N18" s="14">
        <f t="shared" si="1"/>
        <v>418500</v>
      </c>
    </row>
    <row r="19" spans="1:14" x14ac:dyDescent="0.25">
      <c r="B19" s="13"/>
    </row>
    <row r="20" spans="1:14" x14ac:dyDescent="0.25">
      <c r="A20" s="4" t="s">
        <v>90</v>
      </c>
      <c r="B20" s="15">
        <f t="shared" ref="B20:N20" si="2">B12+B18</f>
        <v>50000</v>
      </c>
      <c r="C20" s="9">
        <f t="shared" si="2"/>
        <v>406918.97702832834</v>
      </c>
      <c r="D20" s="9">
        <f t="shared" si="2"/>
        <v>411310.70698128128</v>
      </c>
      <c r="E20" s="9">
        <f t="shared" si="2"/>
        <v>415774.29109941045</v>
      </c>
      <c r="F20" s="9">
        <f t="shared" si="2"/>
        <v>420309.38539235317</v>
      </c>
      <c r="G20" s="9">
        <f t="shared" si="2"/>
        <v>424915.64780353662</v>
      </c>
      <c r="H20" s="9">
        <f t="shared" si="2"/>
        <v>429592.73816687887</v>
      </c>
      <c r="I20" s="9">
        <f t="shared" si="2"/>
        <v>434340.31816367159</v>
      </c>
      <c r="J20" s="9">
        <f t="shared" si="2"/>
        <v>439158.0512796393</v>
      </c>
      <c r="K20" s="9">
        <f t="shared" si="2"/>
        <v>444045.60276217206</v>
      </c>
      <c r="L20" s="9">
        <f t="shared" si="2"/>
        <v>449002.63957772584</v>
      </c>
      <c r="M20" s="9">
        <f t="shared" si="2"/>
        <v>454028.83036938793</v>
      </c>
      <c r="N20" s="9">
        <f t="shared" si="2"/>
        <v>459123.84541460138</v>
      </c>
    </row>
    <row r="21" spans="1:14" x14ac:dyDescent="0.25">
      <c r="B21" s="13"/>
    </row>
    <row r="22" spans="1:14" x14ac:dyDescent="0.25">
      <c r="A22" s="4" t="s">
        <v>91</v>
      </c>
      <c r="B22" s="13"/>
    </row>
    <row r="23" spans="1:14" x14ac:dyDescent="0.25">
      <c r="A23" t="s">
        <v>92</v>
      </c>
      <c r="B23" s="13"/>
    </row>
    <row r="24" spans="1:14" x14ac:dyDescent="0.25">
      <c r="A24" t="s">
        <v>93</v>
      </c>
      <c r="B24" s="12">
        <f>0</f>
        <v>0</v>
      </c>
      <c r="C24" s="12">
        <f>(IncomeStatement_Year1!B12+SUM(IncomeStatement_Year1!B18:B26)+IncomeStatement_Year1!B29)/2</f>
        <v>12604.04</v>
      </c>
      <c r="D24" s="12">
        <f>(IncomeStatement_Year1!C12+SUM(IncomeStatement_Year1!C18:C26)+IncomeStatement_Year1!C29)/2</f>
        <v>12608.887875375374</v>
      </c>
      <c r="E24" s="12">
        <f>(IncomeStatement_Year1!D12+SUM(IncomeStatement_Year1!D18:D26)+IncomeStatement_Year1!D29)/2</f>
        <v>12613.989998064564</v>
      </c>
      <c r="F24" s="12">
        <f>(IncomeStatement_Year1!E12+SUM(IncomeStatement_Year1!E18:E26)+IncomeStatement_Year1!E29)/2</f>
        <v>12619.345553933257</v>
      </c>
      <c r="G24" s="12">
        <f>(IncomeStatement_Year1!F12+SUM(IncomeStatement_Year1!F18:F26)+IncomeStatement_Year1!F29)/2</f>
        <v>12624.95375086987</v>
      </c>
      <c r="H24" s="12">
        <f>(IncomeStatement_Year1!G12+SUM(IncomeStatement_Year1!G18:G26)+IncomeStatement_Year1!G29)/2</f>
        <v>12630.813818694405</v>
      </c>
      <c r="I24" s="12">
        <f>(IncomeStatement_Year1!H12+SUM(IncomeStatement_Year1!H18:H26)+IncomeStatement_Year1!H29)/2</f>
        <v>12636.925009069497</v>
      </c>
      <c r="J24" s="12">
        <f>(IncomeStatement_Year1!I12+SUM(IncomeStatement_Year1!I18:I26)+IncomeStatement_Year1!I29)/2</f>
        <v>12643.286595413618</v>
      </c>
      <c r="K24" s="12">
        <f>(IncomeStatement_Year1!J12+SUM(IncomeStatement_Year1!J18:J26)+IncomeStatement_Year1!J29)/2</f>
        <v>12649.897872816433</v>
      </c>
      <c r="L24" s="12">
        <f>(IncomeStatement_Year1!K12+SUM(IncomeStatement_Year1!K18:K26)+IncomeStatement_Year1!K29)/2</f>
        <v>12656.758157956316</v>
      </c>
      <c r="M24" s="12">
        <f>(IncomeStatement_Year1!L12+SUM(IncomeStatement_Year1!L18:L26)+IncomeStatement_Year1!L29)/2</f>
        <v>12663.866789019989</v>
      </c>
      <c r="N24" s="12">
        <f>(IncomeStatement_Year1!M12+SUM(IncomeStatement_Year1!M18:M26)+IncomeStatement_Year1!M29)/2</f>
        <v>12671.223125624285</v>
      </c>
    </row>
    <row r="25" spans="1:14" x14ac:dyDescent="0.25">
      <c r="A25" s="4" t="s">
        <v>94</v>
      </c>
      <c r="B25" s="14">
        <f t="shared" ref="B25:N25" si="3">B24</f>
        <v>0</v>
      </c>
      <c r="C25" s="14">
        <f t="shared" si="3"/>
        <v>12604.04</v>
      </c>
      <c r="D25" s="14">
        <f t="shared" si="3"/>
        <v>12608.887875375374</v>
      </c>
      <c r="E25" s="14">
        <f t="shared" si="3"/>
        <v>12613.989998064564</v>
      </c>
      <c r="F25" s="14">
        <f t="shared" si="3"/>
        <v>12619.345553933257</v>
      </c>
      <c r="G25" s="14">
        <f t="shared" si="3"/>
        <v>12624.95375086987</v>
      </c>
      <c r="H25" s="14">
        <f t="shared" si="3"/>
        <v>12630.813818694405</v>
      </c>
      <c r="I25" s="14">
        <f t="shared" si="3"/>
        <v>12636.925009069497</v>
      </c>
      <c r="J25" s="14">
        <f t="shared" si="3"/>
        <v>12643.286595413618</v>
      </c>
      <c r="K25" s="14">
        <f t="shared" si="3"/>
        <v>12649.897872816433</v>
      </c>
      <c r="L25" s="14">
        <f t="shared" si="3"/>
        <v>12656.758157956316</v>
      </c>
      <c r="M25" s="14">
        <f t="shared" si="3"/>
        <v>12663.866789019989</v>
      </c>
      <c r="N25" s="14">
        <f t="shared" si="3"/>
        <v>12671.223125624285</v>
      </c>
    </row>
    <row r="26" spans="1:14" x14ac:dyDescent="0.25">
      <c r="B26" s="13"/>
    </row>
    <row r="27" spans="1:14" x14ac:dyDescent="0.25">
      <c r="A27" t="s">
        <v>95</v>
      </c>
      <c r="B27" s="13"/>
    </row>
    <row r="28" spans="1:14" x14ac:dyDescent="0.25">
      <c r="A28" t="str">
        <f>LoanModule!C1</f>
        <v>Bank Loan</v>
      </c>
      <c r="B28" s="12">
        <v>0</v>
      </c>
      <c r="C28" s="12">
        <f>LoanModule!F10</f>
        <v>345236.59533238853</v>
      </c>
      <c r="D28" s="12">
        <f>LoanModule!F11</f>
        <v>340441.43463365966</v>
      </c>
      <c r="E28" s="12">
        <f>LoanModule!F12</f>
        <v>335614.30619693926</v>
      </c>
      <c r="F28" s="12">
        <f>LoanModule!F13</f>
        <v>330754.99690397404</v>
      </c>
      <c r="G28" s="12">
        <f>LoanModule!F14</f>
        <v>325863.29221572244</v>
      </c>
      <c r="H28" s="12">
        <f>LoanModule!F15</f>
        <v>320938.97616288246</v>
      </c>
      <c r="I28" s="12">
        <f>LoanModule!F16</f>
        <v>315981.83133635687</v>
      </c>
      <c r="J28" s="12">
        <f>LoanModule!F17</f>
        <v>310991.63887765445</v>
      </c>
      <c r="K28" s="12">
        <f>LoanModule!F18</f>
        <v>305968.17846922734</v>
      </c>
      <c r="L28" s="12">
        <f>LoanModule!F19</f>
        <v>300911.22832474404</v>
      </c>
      <c r="M28" s="12">
        <f>LoanModule!F20</f>
        <v>295820.56517929753</v>
      </c>
      <c r="N28" s="12">
        <f>LoanModule!F21</f>
        <v>290695.96427954803</v>
      </c>
    </row>
    <row r="29" spans="1:14" x14ac:dyDescent="0.25">
      <c r="A29" s="4" t="s">
        <v>96</v>
      </c>
      <c r="B29" s="14">
        <f t="shared" ref="B29:N29" si="4">SUM(B28:B28)</f>
        <v>0</v>
      </c>
      <c r="C29" s="14">
        <f t="shared" si="4"/>
        <v>345236.59533238853</v>
      </c>
      <c r="D29" s="14">
        <f t="shared" si="4"/>
        <v>340441.43463365966</v>
      </c>
      <c r="E29" s="14">
        <f t="shared" si="4"/>
        <v>335614.30619693926</v>
      </c>
      <c r="F29" s="14">
        <f t="shared" si="4"/>
        <v>330754.99690397404</v>
      </c>
      <c r="G29" s="14">
        <f t="shared" si="4"/>
        <v>325863.29221572244</v>
      </c>
      <c r="H29" s="14">
        <f t="shared" si="4"/>
        <v>320938.97616288246</v>
      </c>
      <c r="I29" s="14">
        <f t="shared" si="4"/>
        <v>315981.83133635687</v>
      </c>
      <c r="J29" s="14">
        <f t="shared" si="4"/>
        <v>310991.63887765445</v>
      </c>
      <c r="K29" s="14">
        <f t="shared" si="4"/>
        <v>305968.17846922734</v>
      </c>
      <c r="L29" s="14">
        <f t="shared" si="4"/>
        <v>300911.22832474404</v>
      </c>
      <c r="M29" s="14">
        <f t="shared" si="4"/>
        <v>295820.56517929753</v>
      </c>
      <c r="N29" s="14">
        <f t="shared" si="4"/>
        <v>290695.96427954803</v>
      </c>
    </row>
    <row r="30" spans="1:14" x14ac:dyDescent="0.25">
      <c r="B30" s="13"/>
    </row>
    <row r="31" spans="1:14" x14ac:dyDescent="0.25">
      <c r="A31" s="4" t="s">
        <v>97</v>
      </c>
      <c r="B31" s="15">
        <f t="shared" ref="B31:N31" si="5">B25+B29</f>
        <v>0</v>
      </c>
      <c r="C31" s="9">
        <f t="shared" si="5"/>
        <v>357840.63533238851</v>
      </c>
      <c r="D31" s="9">
        <f t="shared" si="5"/>
        <v>353050.32250903506</v>
      </c>
      <c r="E31" s="9">
        <f t="shared" si="5"/>
        <v>348228.29619500384</v>
      </c>
      <c r="F31" s="9">
        <f t="shared" si="5"/>
        <v>343374.34245790727</v>
      </c>
      <c r="G31" s="9">
        <f t="shared" si="5"/>
        <v>338488.24596659234</v>
      </c>
      <c r="H31" s="9">
        <f t="shared" si="5"/>
        <v>333569.78998157685</v>
      </c>
      <c r="I31" s="9">
        <f t="shared" si="5"/>
        <v>328618.75634542637</v>
      </c>
      <c r="J31" s="9">
        <f t="shared" si="5"/>
        <v>323634.92547306808</v>
      </c>
      <c r="K31" s="9">
        <f t="shared" si="5"/>
        <v>318618.07634204376</v>
      </c>
      <c r="L31" s="9">
        <f t="shared" si="5"/>
        <v>313567.98648270033</v>
      </c>
      <c r="M31" s="9">
        <f t="shared" si="5"/>
        <v>308484.43196831754</v>
      </c>
      <c r="N31" s="9">
        <f t="shared" si="5"/>
        <v>303367.18740517233</v>
      </c>
    </row>
    <row r="32" spans="1:14" x14ac:dyDescent="0.25">
      <c r="B32" s="13"/>
    </row>
    <row r="33" spans="1:14" x14ac:dyDescent="0.25">
      <c r="A33" t="s">
        <v>98</v>
      </c>
      <c r="B33" s="13"/>
    </row>
    <row r="34" spans="1:14" x14ac:dyDescent="0.25">
      <c r="A34" t="s">
        <v>99</v>
      </c>
      <c r="B34" s="12">
        <f>StartupCosts!B11</f>
        <v>152000</v>
      </c>
      <c r="C34" s="6">
        <f t="shared" ref="C34:N34" si="6">B34</f>
        <v>152000</v>
      </c>
      <c r="D34" s="12">
        <f t="shared" si="6"/>
        <v>152000</v>
      </c>
      <c r="E34" s="12">
        <f t="shared" si="6"/>
        <v>152000</v>
      </c>
      <c r="F34" s="12">
        <f t="shared" si="6"/>
        <v>152000</v>
      </c>
      <c r="G34" s="12">
        <f t="shared" si="6"/>
        <v>152000</v>
      </c>
      <c r="H34" s="12">
        <f t="shared" si="6"/>
        <v>152000</v>
      </c>
      <c r="I34" s="12">
        <f t="shared" si="6"/>
        <v>152000</v>
      </c>
      <c r="J34" s="12">
        <f t="shared" si="6"/>
        <v>152000</v>
      </c>
      <c r="K34" s="12">
        <f t="shared" si="6"/>
        <v>152000</v>
      </c>
      <c r="L34" s="12">
        <f t="shared" si="6"/>
        <v>152000</v>
      </c>
      <c r="M34" s="12">
        <f t="shared" si="6"/>
        <v>152000</v>
      </c>
      <c r="N34" s="12">
        <f t="shared" si="6"/>
        <v>152000</v>
      </c>
    </row>
    <row r="35" spans="1:14" x14ac:dyDescent="0.25">
      <c r="A35" t="s">
        <v>100</v>
      </c>
      <c r="B35" s="12">
        <f>StartupCosts!B12</f>
        <v>0</v>
      </c>
      <c r="C35" s="12">
        <f t="shared" ref="C35:N35" si="7">0+B35</f>
        <v>0</v>
      </c>
      <c r="D35" s="12">
        <f t="shared" si="7"/>
        <v>0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  <c r="N35" s="12">
        <f t="shared" si="7"/>
        <v>0</v>
      </c>
    </row>
    <row r="36" spans="1:14" x14ac:dyDescent="0.25">
      <c r="A36" t="s">
        <v>16</v>
      </c>
      <c r="B36" s="12">
        <v>0</v>
      </c>
      <c r="C36" s="12">
        <f>B36+DATA!B40</f>
        <v>0</v>
      </c>
      <c r="D36" s="12">
        <f>C36+DATA!C40</f>
        <v>0</v>
      </c>
      <c r="E36" s="12">
        <f>D36+DATA!D40</f>
        <v>0</v>
      </c>
      <c r="F36" s="12">
        <f>E36+DATA!E40</f>
        <v>0</v>
      </c>
      <c r="G36" s="12">
        <f>F36+DATA!F40</f>
        <v>0</v>
      </c>
      <c r="H36" s="12">
        <f>G36+DATA!G40</f>
        <v>0</v>
      </c>
      <c r="I36" s="12">
        <f>H36+DATA!H40</f>
        <v>0</v>
      </c>
      <c r="J36" s="12">
        <f>I36+DATA!I40</f>
        <v>0</v>
      </c>
      <c r="K36" s="12">
        <f>J36+DATA!J40</f>
        <v>0</v>
      </c>
      <c r="L36" s="12">
        <f>K36+DATA!K40</f>
        <v>0</v>
      </c>
      <c r="M36" s="12">
        <f>L36+DATA!L40</f>
        <v>0</v>
      </c>
      <c r="N36" s="12">
        <f>M36+DATA!M40</f>
        <v>0</v>
      </c>
    </row>
    <row r="37" spans="1:14" x14ac:dyDescent="0.25">
      <c r="A37" t="s">
        <v>101</v>
      </c>
      <c r="B37" s="12">
        <f>B20-B31-B35-B34</f>
        <v>-102000</v>
      </c>
      <c r="C37" s="12">
        <f>(B37+IncomeStatement_Year1!B37)-C36</f>
        <v>-102921.65830406023</v>
      </c>
      <c r="D37" s="12">
        <f>(C37+IncomeStatement_Year1!C37)-D36</f>
        <v>-93739.615527753806</v>
      </c>
      <c r="E37" s="12">
        <f>(D37+IncomeStatement_Year1!D37)-E36</f>
        <v>-84454.005095593442</v>
      </c>
      <c r="F37" s="12">
        <f>(E37+IncomeStatement_Year1!E37)-F36</f>
        <v>-75064.957065554234</v>
      </c>
      <c r="G37" s="12">
        <f>(F37+IncomeStatement_Year1!F37)-G36</f>
        <v>-65572.59816305578</v>
      </c>
      <c r="H37" s="12">
        <f>(G37+IncomeStatement_Year1!G37)-H36</f>
        <v>-55977.051814698068</v>
      </c>
      <c r="I37" s="12">
        <f>(H37+IncomeStatement_Year1!H37)-I36</f>
        <v>-46278.438181754886</v>
      </c>
      <c r="J37" s="12">
        <f>(I37+IncomeStatement_Year1!I37)-J36</f>
        <v>-36476.874193428856</v>
      </c>
      <c r="K37" s="12">
        <f>(J37+IncomeStatement_Year1!J37)-K36</f>
        <v>-26572.473579871854</v>
      </c>
      <c r="L37" s="12">
        <f>(K37+IncomeStatement_Year1!K37)-L36</f>
        <v>-16565.346904974649</v>
      </c>
      <c r="M37" s="12">
        <f>(L37+IncomeStatement_Year1!L37)-M36</f>
        <v>-6455.6015989297539</v>
      </c>
      <c r="N37" s="12">
        <f>(M37+IncomeStatement_Year1!M37)-N36</f>
        <v>3756.6580094288402</v>
      </c>
    </row>
    <row r="38" spans="1:14" x14ac:dyDescent="0.25">
      <c r="A38" s="4" t="s">
        <v>102</v>
      </c>
      <c r="B38" s="15">
        <f>SUM(B34:B37)-B36</f>
        <v>50000</v>
      </c>
      <c r="C38" s="9">
        <f>SUM(C34:C37)-C36</f>
        <v>49078.341695939773</v>
      </c>
      <c r="D38" s="9">
        <f>SUM(D34:D37)-D36+SUM(BalanceSheet_Year1!C36:C36)</f>
        <v>58260.384472246194</v>
      </c>
      <c r="E38" s="9">
        <f>SUM(E34:E37)-E36+SUM(BalanceSheet_Year1!C36:D36)</f>
        <v>67545.994904406558</v>
      </c>
      <c r="F38" s="9">
        <f>SUM(F34:F37)-F36+SUM(BalanceSheet_Year1!C36:E36)</f>
        <v>76935.042934445766</v>
      </c>
      <c r="G38" s="9">
        <f>SUM(G34:G37)-G36+SUM(BalanceSheet_Year1!C36:F36)</f>
        <v>86427.40183694422</v>
      </c>
      <c r="H38" s="9">
        <f>SUM(H34:H37)-H36+SUM(BalanceSheet_Year1!C36:G36)</f>
        <v>96022.948185301939</v>
      </c>
      <c r="I38" s="9">
        <f>SUM(I34:I37)-I36+SUM(BalanceSheet_Year1!C36:H36)</f>
        <v>105721.56181824511</v>
      </c>
      <c r="J38" s="9">
        <f>SUM(J34:J37)-J36+SUM(BalanceSheet_Year1!C36:I36)</f>
        <v>115523.12580657114</v>
      </c>
      <c r="K38" s="9">
        <f>SUM(K34:K37)-K36+SUM(BalanceSheet_Year1!C36:J36)</f>
        <v>125427.52642012815</v>
      </c>
      <c r="L38" s="9">
        <f>SUM(L34:L37)-L36+SUM(BalanceSheet_Year1!C36:K36)</f>
        <v>135434.65309502534</v>
      </c>
      <c r="M38" s="9">
        <f>SUM(M34:M37)-M36+SUM(BalanceSheet_Year1!C36:L36)</f>
        <v>145544.39840107024</v>
      </c>
      <c r="N38" s="9">
        <f>SUM(N34:N37)-N36+SUM(BalanceSheet_Year1!C36:M36)</f>
        <v>155756.65800942885</v>
      </c>
    </row>
    <row r="39" spans="1:14" x14ac:dyDescent="0.25">
      <c r="B39" s="13"/>
    </row>
    <row r="40" spans="1:14" x14ac:dyDescent="0.25">
      <c r="A40" s="4" t="s">
        <v>103</v>
      </c>
      <c r="B40" s="15">
        <f t="shared" ref="B40:N40" si="8">B38+B31</f>
        <v>50000</v>
      </c>
      <c r="C40" s="9">
        <f t="shared" si="8"/>
        <v>406918.97702832829</v>
      </c>
      <c r="D40" s="9">
        <f t="shared" si="8"/>
        <v>411310.70698128128</v>
      </c>
      <c r="E40" s="9">
        <f t="shared" si="8"/>
        <v>415774.29109941039</v>
      </c>
      <c r="F40" s="9">
        <f t="shared" si="8"/>
        <v>420309.38539235306</v>
      </c>
      <c r="G40" s="9">
        <f t="shared" si="8"/>
        <v>424915.64780353656</v>
      </c>
      <c r="H40" s="9">
        <f t="shared" si="8"/>
        <v>429592.73816687881</v>
      </c>
      <c r="I40" s="9">
        <f t="shared" si="8"/>
        <v>434340.31816367147</v>
      </c>
      <c r="J40" s="9">
        <f t="shared" si="8"/>
        <v>439158.05127963924</v>
      </c>
      <c r="K40" s="9">
        <f t="shared" si="8"/>
        <v>444045.60276217188</v>
      </c>
      <c r="L40" s="9">
        <f t="shared" si="8"/>
        <v>449002.63957772567</v>
      </c>
      <c r="M40" s="9">
        <f t="shared" si="8"/>
        <v>454028.83036938775</v>
      </c>
      <c r="N40" s="9">
        <f t="shared" si="8"/>
        <v>459123.84541460115</v>
      </c>
    </row>
    <row r="41" spans="1:14" x14ac:dyDescent="0.25">
      <c r="B41" s="6"/>
      <c r="C41" s="6">
        <f>C20-C40</f>
        <v>0</v>
      </c>
      <c r="D41" s="6">
        <f t="shared" ref="D41:N41" si="9">D20-D40</f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 t="shared" si="9"/>
        <v>0</v>
      </c>
      <c r="M41" s="6">
        <f t="shared" si="9"/>
        <v>0</v>
      </c>
      <c r="N41" s="6">
        <f t="shared" si="9"/>
        <v>0</v>
      </c>
    </row>
    <row r="45" spans="1:14" x14ac:dyDescent="0.25">
      <c r="A45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11" sqref="A11:XFD11"/>
    </sheetView>
  </sheetViews>
  <sheetFormatPr defaultColWidth="8.85546875" defaultRowHeight="15" x14ac:dyDescent="0.25"/>
  <cols>
    <col min="1" max="1" width="34.140625" bestFit="1" customWidth="1"/>
    <col min="2" max="13" width="11.7109375" bestFit="1" customWidth="1"/>
  </cols>
  <sheetData>
    <row r="1" spans="1:13" x14ac:dyDescent="0.25">
      <c r="A1" t="str">
        <f>DATA!B1</f>
        <v>Example Trucking Company</v>
      </c>
    </row>
    <row r="2" spans="1:13" x14ac:dyDescent="0.25">
      <c r="A2" t="s">
        <v>79</v>
      </c>
    </row>
    <row r="3" spans="1:13" x14ac:dyDescent="0.25">
      <c r="A3" t="s">
        <v>64</v>
      </c>
    </row>
    <row r="5" spans="1:13" x14ac:dyDescent="0.25">
      <c r="A5" t="s">
        <v>80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</row>
    <row r="7" spans="1:13" x14ac:dyDescent="0.25">
      <c r="A7" t="s">
        <v>81</v>
      </c>
    </row>
    <row r="8" spans="1:13" x14ac:dyDescent="0.25">
      <c r="A8" t="s">
        <v>82</v>
      </c>
    </row>
    <row r="9" spans="1:13" x14ac:dyDescent="0.25">
      <c r="A9" t="s">
        <v>83</v>
      </c>
      <c r="B9" s="12">
        <f>CashFlowStatement_Year2!B7+CashFlowStatement_Year2!B35</f>
        <v>38185.541682195908</v>
      </c>
      <c r="C9" s="12">
        <f>CashFlowStatement_Year2!C7+CashFlowStatement_Year2!C35</f>
        <v>45754.6227957663</v>
      </c>
      <c r="D9" s="12">
        <f>CashFlowStatement_Year2!D7+CashFlowStatement_Year2!D35</f>
        <v>53391.42687224051</v>
      </c>
      <c r="E9" s="12">
        <f>CashFlowStatement_Year2!E7+CashFlowStatement_Year2!E35</f>
        <v>61095.63018527496</v>
      </c>
      <c r="F9" s="12">
        <f>CashFlowStatement_Year2!F7+CashFlowStatement_Year2!F35</f>
        <v>68866.910433635188</v>
      </c>
      <c r="G9" s="12">
        <f>CashFlowStatement_Year2!G7+CashFlowStatement_Year2!G35</f>
        <v>76704.946699791326</v>
      </c>
      <c r="H9" s="12">
        <f>CashFlowStatement_Year2!H7+CashFlowStatement_Year2!H35</f>
        <v>84609.419408644084</v>
      </c>
      <c r="I9" s="12">
        <f>CashFlowStatement_Year2!I7+CashFlowStatement_Year2!I35</f>
        <v>92580.01028637703</v>
      </c>
      <c r="J9" s="12">
        <f>CashFlowStatement_Year2!J7+CashFlowStatement_Year2!J35</f>
        <v>100616.40231943117</v>
      </c>
      <c r="K9" s="12">
        <f>CashFlowStatement_Year2!K7+CashFlowStatement_Year2!K35</f>
        <v>108718.2797135975</v>
      </c>
      <c r="L9" s="12">
        <f>CashFlowStatement_Year2!L7+CashFlowStatement_Year2!L35</f>
        <v>116885.3278532236</v>
      </c>
      <c r="M9" s="12">
        <f>CashFlowStatement_Year2!M7+CashFlowStatement_Year2!M35</f>
        <v>125117.23326053016</v>
      </c>
    </row>
    <row r="10" spans="1:13" x14ac:dyDescent="0.25">
      <c r="A10" t="s">
        <v>84</v>
      </c>
      <c r="B10" s="12">
        <f>IncomeStatement_Year2!B8-CashFlowStatement_Year2!B10+BalanceSheet_Year1!N10</f>
        <v>0</v>
      </c>
      <c r="C10" s="12">
        <f>IncomeStatement_Year2!C8-CashFlowStatement_Year2!C10+B10</f>
        <v>0</v>
      </c>
      <c r="D10" s="12">
        <f>IncomeStatement_Year2!D8-CashFlowStatement_Year2!D10+C10</f>
        <v>0</v>
      </c>
      <c r="E10" s="12">
        <f>IncomeStatement_Year2!E8-CashFlowStatement_Year2!E10+D10</f>
        <v>0</v>
      </c>
      <c r="F10" s="12">
        <f>IncomeStatement_Year2!F8-CashFlowStatement_Year2!F10+E10</f>
        <v>0</v>
      </c>
      <c r="G10" s="12">
        <f>IncomeStatement_Year2!G8-CashFlowStatement_Year2!G10+F10</f>
        <v>0</v>
      </c>
      <c r="H10" s="12">
        <f>IncomeStatement_Year2!H8-CashFlowStatement_Year2!H10+G10</f>
        <v>0</v>
      </c>
      <c r="I10" s="12">
        <f>IncomeStatement_Year2!I8-CashFlowStatement_Year2!I10+H10</f>
        <v>0</v>
      </c>
      <c r="J10" s="12">
        <f>IncomeStatement_Year2!J8-CashFlowStatement_Year2!J10+I10</f>
        <v>0</v>
      </c>
      <c r="K10" s="12">
        <f>IncomeStatement_Year2!K8-CashFlowStatement_Year2!K10+J10</f>
        <v>0</v>
      </c>
      <c r="L10" s="12">
        <f>IncomeStatement_Year2!L8-CashFlowStatement_Year2!L10+K10</f>
        <v>0</v>
      </c>
      <c r="M10" s="12">
        <f>IncomeStatement_Year2!M8-CashFlowStatement_Year2!M10+L10</f>
        <v>0</v>
      </c>
    </row>
    <row r="11" spans="1:13" hidden="1" x14ac:dyDescent="0.25">
      <c r="A11" t="s">
        <v>85</v>
      </c>
      <c r="B11" s="12">
        <f>IncomeStatement_Year2!B10*DATA!B3</f>
        <v>0</v>
      </c>
      <c r="C11" s="12">
        <f>IncomeStatement_Year2!C10*DATA!B3</f>
        <v>0</v>
      </c>
      <c r="D11" s="12">
        <f>IncomeStatement_Year2!D10*DATA!B3</f>
        <v>0</v>
      </c>
      <c r="E11" s="12">
        <f>IncomeStatement_Year2!E10*DATA!B3</f>
        <v>0</v>
      </c>
      <c r="F11" s="12">
        <f>IncomeStatement_Year2!F10*DATA!B3</f>
        <v>0</v>
      </c>
      <c r="G11" s="12">
        <f>IncomeStatement_Year2!G10*DATA!B3</f>
        <v>0</v>
      </c>
      <c r="H11" s="12">
        <f>IncomeStatement_Year2!H10*DATA!B3</f>
        <v>0</v>
      </c>
      <c r="I11" s="12">
        <f>IncomeStatement_Year2!I10*DATA!B3</f>
        <v>0</v>
      </c>
      <c r="J11" s="12">
        <f>IncomeStatement_Year2!J10*DATA!B3</f>
        <v>0</v>
      </c>
      <c r="K11" s="12">
        <f>IncomeStatement_Year2!K10*DATA!B3</f>
        <v>0</v>
      </c>
      <c r="L11" s="12">
        <f>IncomeStatement_Year2!L10*DATA!B3</f>
        <v>0</v>
      </c>
      <c r="M11" s="12">
        <f>IncomeStatement_Year2!M10*DATA!B3</f>
        <v>0</v>
      </c>
    </row>
    <row r="12" spans="1:13" x14ac:dyDescent="0.25">
      <c r="A12" s="4" t="s">
        <v>86</v>
      </c>
      <c r="B12" s="14">
        <f t="shared" ref="B12:M12" si="0">SUM(B9:B11)</f>
        <v>38185.541682195908</v>
      </c>
      <c r="C12" s="14">
        <f t="shared" si="0"/>
        <v>45754.6227957663</v>
      </c>
      <c r="D12" s="14">
        <f t="shared" si="0"/>
        <v>53391.42687224051</v>
      </c>
      <c r="E12" s="14">
        <f t="shared" si="0"/>
        <v>61095.63018527496</v>
      </c>
      <c r="F12" s="14">
        <f t="shared" si="0"/>
        <v>68866.910433635188</v>
      </c>
      <c r="G12" s="14">
        <f t="shared" si="0"/>
        <v>76704.946699791326</v>
      </c>
      <c r="H12" s="14">
        <f t="shared" si="0"/>
        <v>84609.419408644084</v>
      </c>
      <c r="I12" s="14">
        <f t="shared" si="0"/>
        <v>92580.01028637703</v>
      </c>
      <c r="J12" s="14">
        <f t="shared" si="0"/>
        <v>100616.40231943117</v>
      </c>
      <c r="K12" s="14">
        <f t="shared" si="0"/>
        <v>108718.2797135975</v>
      </c>
      <c r="L12" s="14">
        <f t="shared" si="0"/>
        <v>116885.3278532236</v>
      </c>
      <c r="M12" s="14">
        <f t="shared" si="0"/>
        <v>125117.23326053016</v>
      </c>
    </row>
    <row r="14" spans="1:13" x14ac:dyDescent="0.25">
      <c r="A14" t="s">
        <v>87</v>
      </c>
    </row>
    <row r="15" spans="1:13" x14ac:dyDescent="0.25">
      <c r="A15" t="s">
        <v>167</v>
      </c>
      <c r="B15" s="12">
        <f>IF(B5=DATA!E19,DATA!B19,0)+BalanceSheet_Year1!N15</f>
        <v>300000</v>
      </c>
      <c r="C15" s="12">
        <f>IF(C5=DATA!E19,DATA!B19,0)+B15</f>
        <v>300000</v>
      </c>
      <c r="D15" s="12">
        <f>IF(D5=DATA!E19,DATA!B19,0)+C15</f>
        <v>300000</v>
      </c>
      <c r="E15" s="12">
        <f>IF(E5=DATA!E19,DATA!B19,0)+D15</f>
        <v>300000</v>
      </c>
      <c r="F15" s="12">
        <f>IF(F5=DATA!E19,DATA!B19,0)+E15</f>
        <v>300000</v>
      </c>
      <c r="G15" s="12">
        <f>IF(G5=DATA!E19,DATA!B19,0)+F15</f>
        <v>300000</v>
      </c>
      <c r="H15" s="12">
        <f>IF(H5=DATA!E19,DATA!B19,0)+G15</f>
        <v>300000</v>
      </c>
      <c r="I15" s="12">
        <f>IF(I5=DATA!E19,DATA!B19,0)+H15</f>
        <v>300000</v>
      </c>
      <c r="J15" s="12">
        <f>IF(J5=DATA!E19,DATA!B19,0)+I15</f>
        <v>300000</v>
      </c>
      <c r="K15" s="12">
        <f>IF(K5=DATA!E19,DATA!B19,0)+J15</f>
        <v>300000</v>
      </c>
      <c r="L15" s="12">
        <f>IF(L5=DATA!E19,DATA!B19,0)+K15</f>
        <v>300000</v>
      </c>
      <c r="M15" s="12">
        <f>IF(M5=DATA!E19,DATA!B19,0)+L15</f>
        <v>300000</v>
      </c>
    </row>
    <row r="16" spans="1:13" x14ac:dyDescent="0.25">
      <c r="A16" t="s">
        <v>168</v>
      </c>
      <c r="B16" s="12">
        <f>IF(B5=DATA!E22,DATA!B22,0)+BalanceSheet_Year1!N16</f>
        <v>150000</v>
      </c>
      <c r="C16" s="12">
        <f>IF(C5=DATA!E22,DATA!B22,0)+B16</f>
        <v>150000</v>
      </c>
      <c r="D16" s="12">
        <f>IF(D5=DATA!E22,DATA!B22,0)+C16</f>
        <v>150000</v>
      </c>
      <c r="E16" s="12">
        <f>IF(E5=DATA!E22,DATA!B22,0)+D16</f>
        <v>150000</v>
      </c>
      <c r="F16" s="12">
        <f>IF(F5=DATA!E22,DATA!B22,0)+E16</f>
        <v>150000</v>
      </c>
      <c r="G16" s="12">
        <f>IF(G5=DATA!E22,DATA!B22,0)+F16</f>
        <v>150000</v>
      </c>
      <c r="H16" s="12">
        <f>IF(H5=DATA!E22,DATA!B22,0)+G16</f>
        <v>150000</v>
      </c>
      <c r="I16" s="12">
        <f>IF(I5=DATA!E22,DATA!B22,0)+H16</f>
        <v>150000</v>
      </c>
      <c r="J16" s="12">
        <f>IF(J5=DATA!E22,DATA!B22,0)+I16</f>
        <v>150000</v>
      </c>
      <c r="K16" s="12">
        <f>IF(K5=DATA!E22,DATA!B22,0)+J16</f>
        <v>150000</v>
      </c>
      <c r="L16" s="12">
        <f>IF(L5=DATA!E22,DATA!B22,0)+K16</f>
        <v>150000</v>
      </c>
      <c r="M16" s="12">
        <f>IF(M5=DATA!E22,DATA!B22,0)+L16</f>
        <v>150000</v>
      </c>
    </row>
    <row r="17" spans="1:13" x14ac:dyDescent="0.25">
      <c r="A17" t="s">
        <v>88</v>
      </c>
      <c r="B17" s="12">
        <f>-(IncomeStatement_Year2!B30-BalanceSheet_Year1!N17)</f>
        <v>-34125</v>
      </c>
      <c r="C17" s="12">
        <f>-(IncomeStatement_Year2!C30-B17)</f>
        <v>-36750</v>
      </c>
      <c r="D17" s="12">
        <f>-(IncomeStatement_Year2!D30-C17)</f>
        <v>-39375</v>
      </c>
      <c r="E17" s="12">
        <f>-(IncomeStatement_Year2!E30-D17)</f>
        <v>-42000</v>
      </c>
      <c r="F17" s="12">
        <f>-(IncomeStatement_Year2!F30-E17)</f>
        <v>-44625</v>
      </c>
      <c r="G17" s="12">
        <f>-(IncomeStatement_Year2!G30-F17)</f>
        <v>-47250</v>
      </c>
      <c r="H17" s="12">
        <f>-(IncomeStatement_Year2!H30-G17)</f>
        <v>-49875</v>
      </c>
      <c r="I17" s="12">
        <f>-(IncomeStatement_Year2!I30-H17)</f>
        <v>-52500</v>
      </c>
      <c r="J17" s="12">
        <f>-(IncomeStatement_Year2!J30-I17)</f>
        <v>-55125</v>
      </c>
      <c r="K17" s="12">
        <f>-(IncomeStatement_Year2!K30-J17)</f>
        <v>-57750</v>
      </c>
      <c r="L17" s="12">
        <f>-(IncomeStatement_Year2!L30-K17)</f>
        <v>-60375</v>
      </c>
      <c r="M17" s="12">
        <f>-(IncomeStatement_Year2!M30-L17)</f>
        <v>-63000</v>
      </c>
    </row>
    <row r="18" spans="1:13" x14ac:dyDescent="0.25">
      <c r="A18" s="4" t="s">
        <v>89</v>
      </c>
      <c r="B18" s="14">
        <f t="shared" ref="B18:M18" si="1">SUM(B15:B17)</f>
        <v>415875</v>
      </c>
      <c r="C18" s="14">
        <f t="shared" si="1"/>
        <v>413250</v>
      </c>
      <c r="D18" s="14">
        <f t="shared" si="1"/>
        <v>410625</v>
      </c>
      <c r="E18" s="14">
        <f t="shared" si="1"/>
        <v>408000</v>
      </c>
      <c r="F18" s="14">
        <f t="shared" si="1"/>
        <v>405375</v>
      </c>
      <c r="G18" s="14">
        <f t="shared" si="1"/>
        <v>402750</v>
      </c>
      <c r="H18" s="14">
        <f t="shared" si="1"/>
        <v>400125</v>
      </c>
      <c r="I18" s="14">
        <f t="shared" si="1"/>
        <v>397500</v>
      </c>
      <c r="J18" s="14">
        <f t="shared" si="1"/>
        <v>394875</v>
      </c>
      <c r="K18" s="14">
        <f t="shared" si="1"/>
        <v>392250</v>
      </c>
      <c r="L18" s="14">
        <f t="shared" si="1"/>
        <v>389625</v>
      </c>
      <c r="M18" s="14">
        <f t="shared" si="1"/>
        <v>387000</v>
      </c>
    </row>
    <row r="20" spans="1:13" x14ac:dyDescent="0.25">
      <c r="A20" s="4" t="s">
        <v>90</v>
      </c>
      <c r="B20" s="9">
        <f t="shared" ref="B20:M20" si="2">B12+B18</f>
        <v>454060.54168219591</v>
      </c>
      <c r="C20" s="9">
        <f t="shared" si="2"/>
        <v>459004.62279576628</v>
      </c>
      <c r="D20" s="9">
        <f t="shared" si="2"/>
        <v>464016.4268722405</v>
      </c>
      <c r="E20" s="9">
        <f t="shared" si="2"/>
        <v>469095.63018527499</v>
      </c>
      <c r="F20" s="9">
        <f t="shared" si="2"/>
        <v>474241.91043363517</v>
      </c>
      <c r="G20" s="9">
        <f t="shared" si="2"/>
        <v>479454.94669979136</v>
      </c>
      <c r="H20" s="9">
        <f t="shared" si="2"/>
        <v>484734.41940864408</v>
      </c>
      <c r="I20" s="9">
        <f t="shared" si="2"/>
        <v>490080.01028637704</v>
      </c>
      <c r="J20" s="9">
        <f t="shared" si="2"/>
        <v>495491.40231943119</v>
      </c>
      <c r="K20" s="9">
        <f t="shared" si="2"/>
        <v>500968.2797135975</v>
      </c>
      <c r="L20" s="9">
        <f t="shared" si="2"/>
        <v>506510.3278532236</v>
      </c>
      <c r="M20" s="9">
        <f t="shared" si="2"/>
        <v>512117.23326053016</v>
      </c>
    </row>
    <row r="22" spans="1:13" x14ac:dyDescent="0.25">
      <c r="A22" s="4" t="s">
        <v>91</v>
      </c>
    </row>
    <row r="23" spans="1:13" x14ac:dyDescent="0.25">
      <c r="A23" t="s">
        <v>92</v>
      </c>
    </row>
    <row r="24" spans="1:13" x14ac:dyDescent="0.25">
      <c r="A24" t="s">
        <v>93</v>
      </c>
      <c r="B24" s="12">
        <f>(IncomeStatement_Year2!B12+SUM(IncomeStatement_Year2!B18:B26)+IncomeStatement_Year2!B29)/2</f>
        <v>12739.550521969817</v>
      </c>
      <c r="C24" s="12">
        <f>(IncomeStatement_Year2!C12+SUM(IncomeStatement_Year2!C18:C26)+IncomeStatement_Year2!C29)/2</f>
        <v>12747.46115782121</v>
      </c>
      <c r="D24" s="12">
        <f>(IncomeStatement_Year2!D12+SUM(IncomeStatement_Year2!D18:D26)+IncomeStatement_Year2!D29)/2</f>
        <v>12755.617766617988</v>
      </c>
      <c r="E24" s="12">
        <f>(IncomeStatement_Year2!E12+SUM(IncomeStatement_Year2!E18:E26)+IncomeStatement_Year2!E29)/2</f>
        <v>12764.019793018269</v>
      </c>
      <c r="F24" s="12">
        <f>(IncomeStatement_Year2!F12+SUM(IncomeStatement_Year2!F18:F26)+IncomeStatement_Year2!F29)/2</f>
        <v>12772.666702750896</v>
      </c>
      <c r="G24" s="12">
        <f>(IncomeStatement_Year2!G12+SUM(IncomeStatement_Year2!G18:G26)+IncomeStatement_Year2!G29)/2</f>
        <v>12781.557982549832</v>
      </c>
      <c r="H24" s="12">
        <f>(IncomeStatement_Year2!H12+SUM(IncomeStatement_Year2!H18:H26)+IncomeStatement_Year2!H29)/2</f>
        <v>12790.693140090618</v>
      </c>
      <c r="I24" s="12">
        <f>(IncomeStatement_Year2!I12+SUM(IncomeStatement_Year2!I18:I26)+IncomeStatement_Year2!I29)/2</f>
        <v>12800.071703928923</v>
      </c>
      <c r="J24" s="12">
        <f>(IncomeStatement_Year2!J12+SUM(IncomeStatement_Year2!J18:J26)+IncomeStatement_Year2!J29)/2</f>
        <v>12809.693223441132</v>
      </c>
      <c r="K24" s="12">
        <f>(IncomeStatement_Year2!K12+SUM(IncomeStatement_Year2!K18:K26)+IncomeStatement_Year2!K29)/2</f>
        <v>12819.557268767021</v>
      </c>
      <c r="L24" s="12">
        <f>(IncomeStatement_Year2!L12+SUM(IncomeStatement_Year2!L18:L26)+IncomeStatement_Year2!L29)/2</f>
        <v>12829.663430754459</v>
      </c>
      <c r="M24" s="12">
        <f>(IncomeStatement_Year2!M12+SUM(IncomeStatement_Year2!M18:M26)+IncomeStatement_Year2!M29)/2</f>
        <v>12840.011320906166</v>
      </c>
    </row>
    <row r="25" spans="1:13" x14ac:dyDescent="0.25">
      <c r="A25" s="4" t="s">
        <v>94</v>
      </c>
      <c r="B25" s="14">
        <f t="shared" ref="B25:M25" si="3">B24</f>
        <v>12739.550521969817</v>
      </c>
      <c r="C25" s="14">
        <f t="shared" si="3"/>
        <v>12747.46115782121</v>
      </c>
      <c r="D25" s="14">
        <f t="shared" si="3"/>
        <v>12755.617766617988</v>
      </c>
      <c r="E25" s="14">
        <f t="shared" si="3"/>
        <v>12764.019793018269</v>
      </c>
      <c r="F25" s="14">
        <f t="shared" si="3"/>
        <v>12772.666702750896</v>
      </c>
      <c r="G25" s="14">
        <f t="shared" si="3"/>
        <v>12781.557982549832</v>
      </c>
      <c r="H25" s="14">
        <f t="shared" si="3"/>
        <v>12790.693140090618</v>
      </c>
      <c r="I25" s="14">
        <f t="shared" si="3"/>
        <v>12800.071703928923</v>
      </c>
      <c r="J25" s="14">
        <f t="shared" si="3"/>
        <v>12809.693223441132</v>
      </c>
      <c r="K25" s="14">
        <f t="shared" si="3"/>
        <v>12819.557268767021</v>
      </c>
      <c r="L25" s="14">
        <f t="shared" si="3"/>
        <v>12829.663430754459</v>
      </c>
      <c r="M25" s="14">
        <f t="shared" si="3"/>
        <v>12840.011320906166</v>
      </c>
    </row>
    <row r="27" spans="1:13" x14ac:dyDescent="0.25">
      <c r="A27" t="s">
        <v>95</v>
      </c>
    </row>
    <row r="28" spans="1:13" x14ac:dyDescent="0.25">
      <c r="A28" t="str">
        <f>LoanModule!C1</f>
        <v>Bank Loan</v>
      </c>
      <c r="B28" s="12">
        <f>LoanModule!F22</f>
        <v>285537.19937380025</v>
      </c>
      <c r="C28" s="12">
        <f>LoanModule!F23</f>
        <v>280344.04270201415</v>
      </c>
      <c r="D28" s="12">
        <f>LoanModule!F24</f>
        <v>275116.26498574944</v>
      </c>
      <c r="E28" s="12">
        <f>LoanModule!F25</f>
        <v>269853.63541804301</v>
      </c>
      <c r="F28" s="12">
        <f>LoanModule!F26</f>
        <v>264555.92165321851</v>
      </c>
      <c r="G28" s="12">
        <f>LoanModule!F27</f>
        <v>259222.8897966285</v>
      </c>
      <c r="H28" s="12">
        <f>LoanModule!F28</f>
        <v>253854.30439432789</v>
      </c>
      <c r="I28" s="12">
        <f>LoanModule!F29</f>
        <v>248449.92842267861</v>
      </c>
      <c r="J28" s="12">
        <f>LoanModule!F30</f>
        <v>243009.52327788502</v>
      </c>
      <c r="K28" s="12">
        <f>LoanModule!F31</f>
        <v>237532.84876545946</v>
      </c>
      <c r="L28" s="12">
        <f>LoanModule!F32</f>
        <v>232019.66308961774</v>
      </c>
      <c r="M28" s="12">
        <f>LoanModule!F33</f>
        <v>226469.72284260375</v>
      </c>
    </row>
    <row r="29" spans="1:13" x14ac:dyDescent="0.25">
      <c r="A29" s="4" t="s">
        <v>96</v>
      </c>
      <c r="B29" s="14">
        <f t="shared" ref="B29:M29" si="4">SUM(B28:B28)</f>
        <v>285537.19937380025</v>
      </c>
      <c r="C29" s="14">
        <f t="shared" si="4"/>
        <v>280344.04270201415</v>
      </c>
      <c r="D29" s="14">
        <f t="shared" si="4"/>
        <v>275116.26498574944</v>
      </c>
      <c r="E29" s="14">
        <f t="shared" si="4"/>
        <v>269853.63541804301</v>
      </c>
      <c r="F29" s="14">
        <f t="shared" si="4"/>
        <v>264555.92165321851</v>
      </c>
      <c r="G29" s="14">
        <f t="shared" si="4"/>
        <v>259222.8897966285</v>
      </c>
      <c r="H29" s="14">
        <f t="shared" si="4"/>
        <v>253854.30439432789</v>
      </c>
      <c r="I29" s="14">
        <f t="shared" si="4"/>
        <v>248449.92842267861</v>
      </c>
      <c r="J29" s="14">
        <f t="shared" si="4"/>
        <v>243009.52327788502</v>
      </c>
      <c r="K29" s="14">
        <f t="shared" si="4"/>
        <v>237532.84876545946</v>
      </c>
      <c r="L29" s="14">
        <f t="shared" si="4"/>
        <v>232019.66308961774</v>
      </c>
      <c r="M29" s="14">
        <f t="shared" si="4"/>
        <v>226469.72284260375</v>
      </c>
    </row>
    <row r="31" spans="1:13" x14ac:dyDescent="0.25">
      <c r="A31" s="4" t="s">
        <v>97</v>
      </c>
      <c r="B31" s="9">
        <f t="shared" ref="B31:M31" si="5">B25+B29</f>
        <v>298276.74989577004</v>
      </c>
      <c r="C31" s="9">
        <f t="shared" si="5"/>
        <v>293091.50385983539</v>
      </c>
      <c r="D31" s="9">
        <f t="shared" si="5"/>
        <v>287871.88275236741</v>
      </c>
      <c r="E31" s="9">
        <f t="shared" si="5"/>
        <v>282617.6552110613</v>
      </c>
      <c r="F31" s="9">
        <f t="shared" si="5"/>
        <v>277328.5883559694</v>
      </c>
      <c r="G31" s="9">
        <f t="shared" si="5"/>
        <v>272004.44777917833</v>
      </c>
      <c r="H31" s="9">
        <f t="shared" si="5"/>
        <v>266644.99753441848</v>
      </c>
      <c r="I31" s="9">
        <f t="shared" si="5"/>
        <v>261250.00012660754</v>
      </c>
      <c r="J31" s="9">
        <f t="shared" si="5"/>
        <v>255819.21650132615</v>
      </c>
      <c r="K31" s="9">
        <f t="shared" si="5"/>
        <v>250352.40603422647</v>
      </c>
      <c r="L31" s="9">
        <f t="shared" si="5"/>
        <v>244849.32652037218</v>
      </c>
      <c r="M31" s="9">
        <f t="shared" si="5"/>
        <v>239309.73416350991</v>
      </c>
    </row>
    <row r="33" spans="1:13" x14ac:dyDescent="0.25">
      <c r="A33" t="s">
        <v>98</v>
      </c>
    </row>
    <row r="34" spans="1:13" x14ac:dyDescent="0.25">
      <c r="A34" t="s">
        <v>99</v>
      </c>
      <c r="B34" s="12">
        <f>BalanceSheet_Year1!N34</f>
        <v>152000</v>
      </c>
      <c r="C34" s="12">
        <f t="shared" ref="C34:M34" si="6">B34</f>
        <v>152000</v>
      </c>
      <c r="D34" s="12">
        <f t="shared" si="6"/>
        <v>152000</v>
      </c>
      <c r="E34" s="12">
        <f t="shared" si="6"/>
        <v>152000</v>
      </c>
      <c r="F34" s="12">
        <f t="shared" si="6"/>
        <v>152000</v>
      </c>
      <c r="G34" s="12">
        <f t="shared" si="6"/>
        <v>152000</v>
      </c>
      <c r="H34" s="12">
        <f t="shared" si="6"/>
        <v>152000</v>
      </c>
      <c r="I34" s="12">
        <f t="shared" si="6"/>
        <v>152000</v>
      </c>
      <c r="J34" s="12">
        <f t="shared" si="6"/>
        <v>152000</v>
      </c>
      <c r="K34" s="12">
        <f t="shared" si="6"/>
        <v>152000</v>
      </c>
      <c r="L34" s="12">
        <f t="shared" si="6"/>
        <v>152000</v>
      </c>
      <c r="M34" s="12">
        <f t="shared" si="6"/>
        <v>152000</v>
      </c>
    </row>
    <row r="35" spans="1:13" x14ac:dyDescent="0.25">
      <c r="A35" t="s">
        <v>100</v>
      </c>
      <c r="B35" s="12">
        <f>0+BalanceSheet_Year1!N35</f>
        <v>0</v>
      </c>
      <c r="C35" s="12">
        <f t="shared" ref="C35:M35" si="7">0+B35</f>
        <v>0</v>
      </c>
      <c r="D35" s="12">
        <f t="shared" si="7"/>
        <v>0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</row>
    <row r="36" spans="1:13" x14ac:dyDescent="0.25">
      <c r="A36" t="s">
        <v>16</v>
      </c>
      <c r="B36" s="12">
        <f>BalanceSheet_Year1!N36+DATA!N40</f>
        <v>0</v>
      </c>
      <c r="C36" s="12">
        <f>B36+DATA!O40</f>
        <v>0</v>
      </c>
      <c r="D36" s="12">
        <f>C36+DATA!P40</f>
        <v>0</v>
      </c>
      <c r="E36" s="12">
        <f>D36+DATA!Q40</f>
        <v>0</v>
      </c>
      <c r="F36" s="12">
        <f>E36+DATA!R40</f>
        <v>0</v>
      </c>
      <c r="G36" s="12">
        <f>F36+DATA!S40</f>
        <v>0</v>
      </c>
      <c r="H36" s="12">
        <f>G36+DATA!T40</f>
        <v>0</v>
      </c>
      <c r="I36" s="12">
        <f>H36+DATA!U40</f>
        <v>0</v>
      </c>
      <c r="J36" s="12">
        <f>I36+DATA!V40</f>
        <v>0</v>
      </c>
      <c r="K36" s="12">
        <f>J36+DATA!W40</f>
        <v>0</v>
      </c>
      <c r="L36" s="12">
        <f>K36+DATA!X40</f>
        <v>0</v>
      </c>
      <c r="M36" s="12">
        <f>L36+DATA!Y40</f>
        <v>0</v>
      </c>
    </row>
    <row r="37" spans="1:13" x14ac:dyDescent="0.25">
      <c r="A37" t="s">
        <v>101</v>
      </c>
      <c r="B37" s="12">
        <f>(BalanceSheet_Year1!N37+IncomeStatement_Year2!B37)-B36</f>
        <v>3783.7917864256533</v>
      </c>
      <c r="C37" s="12">
        <f>(B37+IncomeStatement_Year2!C37)-C36</f>
        <v>13913.118935930765</v>
      </c>
      <c r="D37" s="12">
        <f>(C37+IncomeStatement_Year2!D37)-D36</f>
        <v>24144.544119872884</v>
      </c>
      <c r="E37" s="12">
        <f>(D37+IncomeStatement_Year2!E37)-E36</f>
        <v>34477.97497421351</v>
      </c>
      <c r="F37" s="12">
        <f>(E37+IncomeStatement_Year2!F37)-F36</f>
        <v>44913.322077665609</v>
      </c>
      <c r="G37" s="12">
        <f>(F37+IncomeStatement_Year2!G37)-G36</f>
        <v>55450.498920612808</v>
      </c>
      <c r="H37" s="12">
        <f>(G37+IncomeStatement_Year2!H37)-H36</f>
        <v>66089.421874225372</v>
      </c>
      <c r="I37" s="12">
        <f>(H37+IncomeStatement_Year2!I37)-I36</f>
        <v>76830.010159769285</v>
      </c>
      <c r="J37" s="12">
        <f>(I37+IncomeStatement_Year2!J37)-J36</f>
        <v>87672.185818104816</v>
      </c>
      <c r="K37" s="12">
        <f>(J37+IncomeStatement_Year2!K37)-K36</f>
        <v>98615.873679370794</v>
      </c>
      <c r="L37" s="12">
        <f>(K37+IncomeStatement_Year2!L37)-L36</f>
        <v>109661.00133285118</v>
      </c>
      <c r="M37" s="12">
        <f>(L37+IncomeStatement_Year2!M37)-M36</f>
        <v>120807.49909702005</v>
      </c>
    </row>
    <row r="38" spans="1:13" x14ac:dyDescent="0.25">
      <c r="A38" s="4" t="s">
        <v>102</v>
      </c>
      <c r="B38" s="9">
        <f>SUM(B34:B37)-B36+SUM(BalanceSheet_Year1!C36:N36)</f>
        <v>155783.79178642566</v>
      </c>
      <c r="C38" s="9">
        <f>SUM(C34:C37)-C36+SUM(BalanceSheet_Year1!C36:N36)+SUM(BalanceSheet_Year2!B36:B36)</f>
        <v>165913.11893593078</v>
      </c>
      <c r="D38" s="9">
        <f>SUM(D34:D37)-D36+SUM(BalanceSheet_Year1!C36:N36)+SUM(BalanceSheet_Year2!B36:C36)</f>
        <v>176144.54411987288</v>
      </c>
      <c r="E38" s="9">
        <f>SUM(E34:E37)-E36+SUM(BalanceSheet_Year1!C36:N36)+SUM(BalanceSheet_Year2!B36:D36)</f>
        <v>186477.97497421352</v>
      </c>
      <c r="F38" s="9">
        <f>SUM(F34:F37)-F36+SUM(BalanceSheet_Year1!C36:N36)+SUM(BalanceSheet_Year2!B36:E36)</f>
        <v>196913.32207766559</v>
      </c>
      <c r="G38" s="9">
        <f>SUM(G34:G37)-G36+SUM(BalanceSheet_Year1!C36:N36)+SUM(BalanceSheet_Year2!B36:F36)</f>
        <v>207450.49892061279</v>
      </c>
      <c r="H38" s="9">
        <f>SUM(H34:H37)-H36+SUM(BalanceSheet_Year1!C36:N36)+SUM(BalanceSheet_Year2!B36:G36)</f>
        <v>218089.42187422537</v>
      </c>
      <c r="I38" s="9">
        <f>SUM(I34:I37)-I36+SUM(BalanceSheet_Year1!C36:N36)+SUM(BalanceSheet_Year2!B36:H36)</f>
        <v>228830.01015976927</v>
      </c>
      <c r="J38" s="9">
        <f>SUM(J34:J37)-J36+SUM(BalanceSheet_Year1!C36:N36)+SUM(BalanceSheet_Year2!B36:I36)</f>
        <v>239672.18581810483</v>
      </c>
      <c r="K38" s="9">
        <f>SUM(K34:K37)-K36+SUM(BalanceSheet_Year1!C36:N36)+SUM(BalanceSheet_Year2!B36:J36)</f>
        <v>250615.87367937079</v>
      </c>
      <c r="L38" s="9">
        <f>SUM(L34:L37)-L36+SUM(BalanceSheet_Year1!C36:N36)+SUM(BalanceSheet_Year2!B36:K36)</f>
        <v>261661.00133285118</v>
      </c>
      <c r="M38" s="9">
        <f>SUM(M34:M37)-M36+SUM(BalanceSheet_Year1!C36:N36)+SUM(BalanceSheet_Year2!B36:L36)</f>
        <v>272807.49909702002</v>
      </c>
    </row>
    <row r="40" spans="1:13" x14ac:dyDescent="0.25">
      <c r="A40" s="4" t="s">
        <v>103</v>
      </c>
      <c r="B40" s="9">
        <f t="shared" ref="B40:M40" si="8">B38+B31</f>
        <v>454060.54168219573</v>
      </c>
      <c r="C40" s="9">
        <f t="shared" si="8"/>
        <v>459004.62279576616</v>
      </c>
      <c r="D40" s="9">
        <f t="shared" si="8"/>
        <v>464016.42687224026</v>
      </c>
      <c r="E40" s="9">
        <f t="shared" si="8"/>
        <v>469095.63018527481</v>
      </c>
      <c r="F40" s="9">
        <f t="shared" si="8"/>
        <v>474241.910433635</v>
      </c>
      <c r="G40" s="9">
        <f t="shared" si="8"/>
        <v>479454.94669979112</v>
      </c>
      <c r="H40" s="9">
        <f t="shared" si="8"/>
        <v>484734.41940864385</v>
      </c>
      <c r="I40" s="9">
        <f t="shared" si="8"/>
        <v>490080.01028637681</v>
      </c>
      <c r="J40" s="9">
        <f t="shared" si="8"/>
        <v>495491.40231943096</v>
      </c>
      <c r="K40" s="9">
        <f t="shared" si="8"/>
        <v>500968.27971359727</v>
      </c>
      <c r="L40" s="9">
        <f t="shared" si="8"/>
        <v>506510.32785322337</v>
      </c>
      <c r="M40" s="9">
        <f t="shared" si="8"/>
        <v>512117.23326052993</v>
      </c>
    </row>
    <row r="45" spans="1:13" x14ac:dyDescent="0.25">
      <c r="A45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6" workbookViewId="0">
      <selection activeCell="A11" sqref="A11:XFD11"/>
    </sheetView>
  </sheetViews>
  <sheetFormatPr defaultColWidth="8.85546875" defaultRowHeight="15" x14ac:dyDescent="0.25"/>
  <cols>
    <col min="1" max="1" width="34.140625" bestFit="1" customWidth="1"/>
    <col min="2" max="12" width="11.7109375" bestFit="1" customWidth="1"/>
    <col min="13" max="13" width="10.42578125" bestFit="1" customWidth="1"/>
  </cols>
  <sheetData>
    <row r="1" spans="1:13" x14ac:dyDescent="0.25">
      <c r="A1" t="str">
        <f>DATA!B1</f>
        <v>Example Trucking Company</v>
      </c>
    </row>
    <row r="2" spans="1:13" x14ac:dyDescent="0.25">
      <c r="A2" t="s">
        <v>79</v>
      </c>
    </row>
    <row r="3" spans="1:13" x14ac:dyDescent="0.25">
      <c r="A3" t="s">
        <v>65</v>
      </c>
    </row>
    <row r="5" spans="1:13" x14ac:dyDescent="0.25">
      <c r="A5" t="s">
        <v>80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</row>
    <row r="7" spans="1:13" x14ac:dyDescent="0.25">
      <c r="A7" t="s">
        <v>81</v>
      </c>
    </row>
    <row r="8" spans="1:13" x14ac:dyDescent="0.25">
      <c r="A8" t="s">
        <v>82</v>
      </c>
    </row>
    <row r="9" spans="1:13" x14ac:dyDescent="0.25">
      <c r="A9" t="s">
        <v>83</v>
      </c>
      <c r="B9" s="12">
        <f>CashFlowStatement_Year3!B7+CashFlowStatement_Year3!B35</f>
        <v>123188.36270441006</v>
      </c>
      <c r="C9" s="12">
        <f>CashFlowStatement_Year3!C7+CashFlowStatement_Year3!C35</f>
        <v>131262.20757305966</v>
      </c>
      <c r="D9" s="12">
        <f>CashFlowStatement_Year3!D7+CashFlowStatement_Year3!D35</f>
        <v>139399.85272319679</v>
      </c>
      <c r="E9" s="12">
        <f>CashFlowStatement_Year3!E7+CashFlowStatement_Year3!E35</f>
        <v>147600.98870077942</v>
      </c>
      <c r="F9" s="12">
        <f>CashFlowStatement_Year3!F7+CashFlowStatement_Year3!F35</f>
        <v>155865.30698760372</v>
      </c>
      <c r="G9" s="12">
        <f>CashFlowStatement_Year3!G7+CashFlowStatement_Year3!G35</f>
        <v>164192.49996119441</v>
      </c>
      <c r="H9" s="12">
        <f>CashFlowStatement_Year3!H7+CashFlowStatement_Year3!H35</f>
        <v>172582.26085477648</v>
      </c>
      <c r="I9" s="12">
        <f>CashFlowStatement_Year3!I7+CashFlowStatement_Year3!I35</f>
        <v>181034.28371732452</v>
      </c>
      <c r="J9" s="12">
        <f>CashFlowStatement_Year3!J7+CashFlowStatement_Year3!J35</f>
        <v>189548.26337368556</v>
      </c>
      <c r="K9" s="12">
        <f>CashFlowStatement_Year3!K7+CashFlowStatement_Year3!K35</f>
        <v>198123.89538477123</v>
      </c>
      <c r="L9" s="12">
        <f>CashFlowStatement_Year3!L7+CashFlowStatement_Year3!L35</f>
        <v>206760.87600781571</v>
      </c>
      <c r="M9" s="12">
        <f>CashFlowStatement_Year3!M7+CashFlowStatement_Year3!M35</f>
        <v>215458.90215669488</v>
      </c>
    </row>
    <row r="10" spans="1:13" x14ac:dyDescent="0.25">
      <c r="A10" t="s">
        <v>84</v>
      </c>
      <c r="B10" s="12">
        <f>IncomeStatement_Year3!B8-CashFlowStatement_Year3!B10+BalanceSheet_Year2!M10</f>
        <v>0</v>
      </c>
      <c r="C10" s="12">
        <f>IncomeStatement_Year3!C8-CashFlowStatement_Year3!C10+B10</f>
        <v>0</v>
      </c>
      <c r="D10" s="12">
        <f>IncomeStatement_Year3!D8-CashFlowStatement_Year3!D10+C10</f>
        <v>0</v>
      </c>
      <c r="E10" s="12">
        <f>IncomeStatement_Year3!E8-CashFlowStatement_Year3!E10+D10</f>
        <v>0</v>
      </c>
      <c r="F10" s="12">
        <f>IncomeStatement_Year3!F8-CashFlowStatement_Year3!F10+E10</f>
        <v>0</v>
      </c>
      <c r="G10" s="12">
        <f>IncomeStatement_Year3!G8-CashFlowStatement_Year3!G10+F10</f>
        <v>0</v>
      </c>
      <c r="H10" s="12">
        <f>IncomeStatement_Year3!H8-CashFlowStatement_Year3!H10+G10</f>
        <v>0</v>
      </c>
      <c r="I10" s="12">
        <f>IncomeStatement_Year3!I8-CashFlowStatement_Year3!I10+H10</f>
        <v>0</v>
      </c>
      <c r="J10" s="12">
        <f>IncomeStatement_Year3!J8-CashFlowStatement_Year3!J10+I10</f>
        <v>0</v>
      </c>
      <c r="K10" s="12">
        <f>IncomeStatement_Year3!K8-CashFlowStatement_Year3!K10+J10</f>
        <v>0</v>
      </c>
      <c r="L10" s="12">
        <f>IncomeStatement_Year3!L8-CashFlowStatement_Year3!L10+K10</f>
        <v>0</v>
      </c>
      <c r="M10" s="12">
        <f>IncomeStatement_Year3!M8-CashFlowStatement_Year3!M10+L10</f>
        <v>0</v>
      </c>
    </row>
    <row r="11" spans="1:13" hidden="1" x14ac:dyDescent="0.25">
      <c r="A11" t="s">
        <v>85</v>
      </c>
      <c r="B11" s="12">
        <f>IncomeStatement_Year3!B10*DATA!B3</f>
        <v>0</v>
      </c>
      <c r="C11" s="12">
        <f>IncomeStatement_Year3!C10*DATA!B3</f>
        <v>0</v>
      </c>
      <c r="D11" s="12">
        <f>IncomeStatement_Year3!D10*DATA!B3</f>
        <v>0</v>
      </c>
      <c r="E11" s="12">
        <f>IncomeStatement_Year3!E10*DATA!B3</f>
        <v>0</v>
      </c>
      <c r="F11" s="12">
        <f>IncomeStatement_Year3!F10*DATA!B3</f>
        <v>0</v>
      </c>
      <c r="G11" s="12">
        <f>IncomeStatement_Year3!G10*DATA!B3</f>
        <v>0</v>
      </c>
      <c r="H11" s="12">
        <f>IncomeStatement_Year3!H10*DATA!B3</f>
        <v>0</v>
      </c>
      <c r="I11" s="12">
        <f>IncomeStatement_Year3!I10*DATA!B3</f>
        <v>0</v>
      </c>
      <c r="J11" s="12">
        <f>IncomeStatement_Year3!J10*DATA!B3</f>
        <v>0</v>
      </c>
      <c r="K11" s="12">
        <f>IncomeStatement_Year3!K10*DATA!B3</f>
        <v>0</v>
      </c>
      <c r="L11" s="12">
        <f>IncomeStatement_Year3!L10*DATA!B3</f>
        <v>0</v>
      </c>
      <c r="M11" s="12">
        <f>IncomeStatement_Year3!M10*DATA!B3</f>
        <v>0</v>
      </c>
    </row>
    <row r="12" spans="1:13" x14ac:dyDescent="0.25">
      <c r="A12" s="4" t="s">
        <v>86</v>
      </c>
      <c r="B12" s="14">
        <f t="shared" ref="B12:M12" si="0">SUM(B9:B11)</f>
        <v>123188.36270441006</v>
      </c>
      <c r="C12" s="14">
        <f t="shared" si="0"/>
        <v>131262.20757305966</v>
      </c>
      <c r="D12" s="14">
        <f t="shared" si="0"/>
        <v>139399.85272319679</v>
      </c>
      <c r="E12" s="14">
        <f t="shared" si="0"/>
        <v>147600.98870077942</v>
      </c>
      <c r="F12" s="14">
        <f t="shared" si="0"/>
        <v>155865.30698760372</v>
      </c>
      <c r="G12" s="14">
        <f t="shared" si="0"/>
        <v>164192.49996119441</v>
      </c>
      <c r="H12" s="14">
        <f t="shared" si="0"/>
        <v>172582.26085477648</v>
      </c>
      <c r="I12" s="14">
        <f t="shared" si="0"/>
        <v>181034.28371732452</v>
      </c>
      <c r="J12" s="14">
        <f t="shared" si="0"/>
        <v>189548.26337368556</v>
      </c>
      <c r="K12" s="14">
        <f t="shared" si="0"/>
        <v>198123.89538477123</v>
      </c>
      <c r="L12" s="14">
        <f t="shared" si="0"/>
        <v>206760.87600781571</v>
      </c>
      <c r="M12" s="14">
        <f t="shared" si="0"/>
        <v>215458.90215669488</v>
      </c>
    </row>
    <row r="14" spans="1:13" x14ac:dyDescent="0.25">
      <c r="A14" t="s">
        <v>87</v>
      </c>
    </row>
    <row r="15" spans="1:13" x14ac:dyDescent="0.25">
      <c r="A15" t="s">
        <v>167</v>
      </c>
      <c r="B15" s="12">
        <f>IF(B5=DATA!E19,DATA!B19,0)+BalanceSheet_Year2!M15</f>
        <v>300000</v>
      </c>
      <c r="C15" s="12">
        <f>IF(C5=DATA!E19,DATA!B19,0)+B15</f>
        <v>300000</v>
      </c>
      <c r="D15" s="12">
        <f>IF(D5=DATA!E19,DATA!B19,0)+C15</f>
        <v>300000</v>
      </c>
      <c r="E15" s="12">
        <f>IF(E5=DATA!E19,DATA!B19,0)+D15</f>
        <v>300000</v>
      </c>
      <c r="F15" s="12">
        <f>IF(F5=DATA!E19,DATA!B19,0)+E15</f>
        <v>300000</v>
      </c>
      <c r="G15" s="12">
        <f>IF(G5=DATA!E19,DATA!B19,0)+F15</f>
        <v>300000</v>
      </c>
      <c r="H15" s="12">
        <f>IF(H5=DATA!E19,DATA!B19,0)+G15</f>
        <v>300000</v>
      </c>
      <c r="I15" s="12">
        <f>IF(I5=DATA!E19,DATA!B19,0)+H15</f>
        <v>300000</v>
      </c>
      <c r="J15" s="12">
        <f>IF(J5=DATA!E19,DATA!B19,0)+I15</f>
        <v>300000</v>
      </c>
      <c r="K15" s="12">
        <f>IF(K5=DATA!E19,DATA!B19,0)+J15</f>
        <v>300000</v>
      </c>
      <c r="L15" s="12">
        <f>IF(L5=DATA!E19,DATA!B19,0)+K15</f>
        <v>300000</v>
      </c>
      <c r="M15" s="12">
        <f>IF(M5=DATA!E19,DATA!B19,0)+L15</f>
        <v>300000</v>
      </c>
    </row>
    <row r="16" spans="1:13" x14ac:dyDescent="0.25">
      <c r="A16" t="s">
        <v>168</v>
      </c>
      <c r="B16" s="12">
        <f>IF(B5=DATA!E22,DATA!B22,0)+BalanceSheet_Year2!M16</f>
        <v>150000</v>
      </c>
      <c r="C16" s="12">
        <f>IF(C5=DATA!E22,DATA!B22,0)+B16</f>
        <v>150000</v>
      </c>
      <c r="D16" s="12">
        <f>IF(D5=DATA!E22,DATA!B22,0)+C16</f>
        <v>150000</v>
      </c>
      <c r="E16" s="12">
        <f>IF(E5=DATA!E22,DATA!B22,0)+D16</f>
        <v>150000</v>
      </c>
      <c r="F16" s="12">
        <f>IF(F5=DATA!E22,DATA!B22,0)+E16</f>
        <v>150000</v>
      </c>
      <c r="G16" s="12">
        <f>IF(G5=DATA!E22,DATA!B22,0)+F16</f>
        <v>150000</v>
      </c>
      <c r="H16" s="12">
        <f>IF(H5=DATA!E22,DATA!B22,0)+G16</f>
        <v>150000</v>
      </c>
      <c r="I16" s="12">
        <f>IF(I5=DATA!E22,DATA!B22,0)+H16</f>
        <v>150000</v>
      </c>
      <c r="J16" s="12">
        <f>IF(J5=DATA!E22,DATA!B22,0)+I16</f>
        <v>150000</v>
      </c>
      <c r="K16" s="12">
        <f>IF(K5=DATA!E22,DATA!B22,0)+J16</f>
        <v>150000</v>
      </c>
      <c r="L16" s="12">
        <f>IF(L5=DATA!E22,DATA!B22,0)+K16</f>
        <v>150000</v>
      </c>
      <c r="M16" s="12">
        <f>IF(M5=DATA!E22,DATA!B22,0)+L16</f>
        <v>150000</v>
      </c>
    </row>
    <row r="17" spans="1:13" x14ac:dyDescent="0.25">
      <c r="A17" t="s">
        <v>88</v>
      </c>
      <c r="B17" s="12">
        <f>-(IncomeStatement_Year3!B30-BalanceSheet_Year2!M17)</f>
        <v>-65625</v>
      </c>
      <c r="C17" s="12">
        <f>-(IncomeStatement_Year3!C30-B17)</f>
        <v>-68250</v>
      </c>
      <c r="D17" s="12">
        <f>-(IncomeStatement_Year3!D30-C17)</f>
        <v>-70875</v>
      </c>
      <c r="E17" s="12">
        <f>-(IncomeStatement_Year3!E30-D17)</f>
        <v>-73500</v>
      </c>
      <c r="F17" s="12">
        <f>-(IncomeStatement_Year3!F30-E17)</f>
        <v>-76125</v>
      </c>
      <c r="G17" s="12">
        <f>-(IncomeStatement_Year3!G30-F17)</f>
        <v>-78750</v>
      </c>
      <c r="H17" s="12">
        <f>-(IncomeStatement_Year3!H30-G17)</f>
        <v>-81375</v>
      </c>
      <c r="I17" s="12">
        <f>-(IncomeStatement_Year3!I30-H17)</f>
        <v>-84000</v>
      </c>
      <c r="J17" s="12">
        <f>-(IncomeStatement_Year3!J30-I17)</f>
        <v>-86625</v>
      </c>
      <c r="K17" s="12">
        <f>-(IncomeStatement_Year3!K30-J17)</f>
        <v>-89250</v>
      </c>
      <c r="L17" s="12">
        <f>-(IncomeStatement_Year3!L30-K17)</f>
        <v>-91875</v>
      </c>
      <c r="M17" s="12">
        <f>-(IncomeStatement_Year3!M30-L17)</f>
        <v>-94500</v>
      </c>
    </row>
    <row r="18" spans="1:13" x14ac:dyDescent="0.25">
      <c r="A18" s="4" t="s">
        <v>89</v>
      </c>
      <c r="B18" s="14">
        <f t="shared" ref="B18:M18" si="1">SUM(B15:B17)</f>
        <v>384375</v>
      </c>
      <c r="C18" s="14">
        <f t="shared" si="1"/>
        <v>381750</v>
      </c>
      <c r="D18" s="14">
        <f t="shared" si="1"/>
        <v>379125</v>
      </c>
      <c r="E18" s="14">
        <f t="shared" si="1"/>
        <v>376500</v>
      </c>
      <c r="F18" s="14">
        <f t="shared" si="1"/>
        <v>373875</v>
      </c>
      <c r="G18" s="14">
        <f t="shared" si="1"/>
        <v>371250</v>
      </c>
      <c r="H18" s="14">
        <f t="shared" si="1"/>
        <v>368625</v>
      </c>
      <c r="I18" s="14">
        <f t="shared" si="1"/>
        <v>366000</v>
      </c>
      <c r="J18" s="14">
        <f t="shared" si="1"/>
        <v>363375</v>
      </c>
      <c r="K18" s="14">
        <f t="shared" si="1"/>
        <v>360750</v>
      </c>
      <c r="L18" s="14">
        <f t="shared" si="1"/>
        <v>358125</v>
      </c>
      <c r="M18" s="14">
        <f t="shared" si="1"/>
        <v>355500</v>
      </c>
    </row>
    <row r="20" spans="1:13" x14ac:dyDescent="0.25">
      <c r="A20" s="4" t="s">
        <v>90</v>
      </c>
      <c r="B20" s="9">
        <f t="shared" ref="B20:M20" si="2">B12+B18</f>
        <v>507563.36270441004</v>
      </c>
      <c r="C20" s="9">
        <f t="shared" si="2"/>
        <v>513012.20757305966</v>
      </c>
      <c r="D20" s="9">
        <f t="shared" si="2"/>
        <v>518524.85272319679</v>
      </c>
      <c r="E20" s="9">
        <f t="shared" si="2"/>
        <v>524100.98870077939</v>
      </c>
      <c r="F20" s="9">
        <f t="shared" si="2"/>
        <v>529740.30698760366</v>
      </c>
      <c r="G20" s="9">
        <f t="shared" si="2"/>
        <v>535442.49996119435</v>
      </c>
      <c r="H20" s="9">
        <f t="shared" si="2"/>
        <v>541207.26085477648</v>
      </c>
      <c r="I20" s="9">
        <f t="shared" si="2"/>
        <v>547034.28371732449</v>
      </c>
      <c r="J20" s="9">
        <f t="shared" si="2"/>
        <v>552923.26337368554</v>
      </c>
      <c r="K20" s="9">
        <f t="shared" si="2"/>
        <v>558873.89538477128</v>
      </c>
      <c r="L20" s="9">
        <f t="shared" si="2"/>
        <v>564885.87600781571</v>
      </c>
      <c r="M20" s="9">
        <f t="shared" si="2"/>
        <v>570958.90215669491</v>
      </c>
    </row>
    <row r="22" spans="1:13" x14ac:dyDescent="0.25">
      <c r="A22" s="4" t="s">
        <v>91</v>
      </c>
    </row>
    <row r="23" spans="1:13" x14ac:dyDescent="0.25">
      <c r="A23" t="s">
        <v>92</v>
      </c>
    </row>
    <row r="24" spans="1:13" x14ac:dyDescent="0.25">
      <c r="A24" t="s">
        <v>93</v>
      </c>
      <c r="B24" s="12">
        <f>(IncomeStatement_Year3!B12+SUM(IncomeStatement_Year3!B18:B26)+IncomeStatement_Year3!B29)/2</f>
        <v>12912.05725340864</v>
      </c>
      <c r="C24" s="12">
        <f>(IncomeStatement_Year3!C12+SUM(IncomeStatement_Year3!C18:C26)+IncomeStatement_Year3!C29)/2</f>
        <v>12922.948973444591</v>
      </c>
      <c r="D24" s="12">
        <f>(IncomeStatement_Year3!D12+SUM(IncomeStatement_Year3!D18:D26)+IncomeStatement_Year3!D29)/2</f>
        <v>12934.081441036949</v>
      </c>
      <c r="E24" s="12">
        <f>(IncomeStatement_Year3!E12+SUM(IncomeStatement_Year3!E18:E26)+IncomeStatement_Year3!E29)/2</f>
        <v>12945.454349877631</v>
      </c>
      <c r="F24" s="12">
        <f>(IncomeStatement_Year3!F12+SUM(IncomeStatement_Year3!F18:F26)+IncomeStatement_Year3!F29)/2</f>
        <v>12957.067414077759</v>
      </c>
      <c r="G24" s="12">
        <f>(IncomeStatement_Year3!G12+SUM(IncomeStatement_Year3!G18:G26)+IncomeStatement_Year3!G29)/2</f>
        <v>12968.92036812659</v>
      </c>
      <c r="H24" s="12">
        <f>(IncomeStatement_Year3!H12+SUM(IncomeStatement_Year3!H18:H26)+IncomeStatement_Year3!H29)/2</f>
        <v>12981.012966852451</v>
      </c>
      <c r="I24" s="12">
        <f>(IncomeStatement_Year3!I12+SUM(IncomeStatement_Year3!I18:I26)+IncomeStatement_Year3!I29)/2</f>
        <v>12993.344985385686</v>
      </c>
      <c r="J24" s="12">
        <f>(IncomeStatement_Year3!J12+SUM(IncomeStatement_Year3!J18:J26)+IncomeStatement_Year3!J29)/2</f>
        <v>13005.91621912359</v>
      </c>
      <c r="K24" s="12">
        <f>(IncomeStatement_Year3!K12+SUM(IncomeStatement_Year3!K18:K26)+IncomeStatement_Year3!K29)/2</f>
        <v>13018.726483697366</v>
      </c>
      <c r="L24" s="12">
        <f>(IncomeStatement_Year3!L12+SUM(IncomeStatement_Year3!L18:L26)+IncomeStatement_Year3!L29)/2</f>
        <v>13031.775614941052</v>
      </c>
      <c r="M24" s="12">
        <f>(IncomeStatement_Year3!M12+SUM(IncomeStatement_Year3!M18:M26)+IncomeStatement_Year3!M29)/2</f>
        <v>13045.06346886247</v>
      </c>
    </row>
    <row r="25" spans="1:13" x14ac:dyDescent="0.25">
      <c r="A25" s="4" t="s">
        <v>94</v>
      </c>
      <c r="B25" s="14">
        <f t="shared" ref="B25:M25" si="3">B24</f>
        <v>12912.05725340864</v>
      </c>
      <c r="C25" s="14">
        <f t="shared" si="3"/>
        <v>12922.948973444591</v>
      </c>
      <c r="D25" s="14">
        <f t="shared" si="3"/>
        <v>12934.081441036949</v>
      </c>
      <c r="E25" s="14">
        <f t="shared" si="3"/>
        <v>12945.454349877631</v>
      </c>
      <c r="F25" s="14">
        <f t="shared" si="3"/>
        <v>12957.067414077759</v>
      </c>
      <c r="G25" s="14">
        <f t="shared" si="3"/>
        <v>12968.92036812659</v>
      </c>
      <c r="H25" s="14">
        <f t="shared" si="3"/>
        <v>12981.012966852451</v>
      </c>
      <c r="I25" s="14">
        <f t="shared" si="3"/>
        <v>12993.344985385686</v>
      </c>
      <c r="J25" s="14">
        <f t="shared" si="3"/>
        <v>13005.91621912359</v>
      </c>
      <c r="K25" s="14">
        <f t="shared" si="3"/>
        <v>13018.726483697366</v>
      </c>
      <c r="L25" s="14">
        <f t="shared" si="3"/>
        <v>13031.775614941052</v>
      </c>
      <c r="M25" s="14">
        <f t="shared" si="3"/>
        <v>13045.06346886247</v>
      </c>
    </row>
    <row r="27" spans="1:13" x14ac:dyDescent="0.25">
      <c r="A27" t="s">
        <v>95</v>
      </c>
    </row>
    <row r="28" spans="1:13" x14ac:dyDescent="0.25">
      <c r="A28" t="str">
        <f>LoanModule!C1</f>
        <v>Bank Loan</v>
      </c>
      <c r="B28" s="12">
        <f>LoanModule!F34</f>
        <v>220882.78299394299</v>
      </c>
      <c r="C28" s="12">
        <f>LoanModule!F35</f>
        <v>215258.5968796245</v>
      </c>
      <c r="D28" s="12">
        <f>LoanModule!F36</f>
        <v>209596.91619121053</v>
      </c>
      <c r="E28" s="12">
        <f>LoanModule!F37</f>
        <v>203897.49096487381</v>
      </c>
      <c r="F28" s="12">
        <f>LoanModule!F38</f>
        <v>198160.06957036152</v>
      </c>
      <c r="G28" s="12">
        <f>LoanModule!F39</f>
        <v>192384.39869988582</v>
      </c>
      <c r="H28" s="12">
        <f>LoanModule!F40</f>
        <v>186570.22335694026</v>
      </c>
      <c r="I28" s="12">
        <f>LoanModule!F41</f>
        <v>180717.28684504173</v>
      </c>
      <c r="J28" s="12">
        <f>LoanModule!F42</f>
        <v>174825.33075639722</v>
      </c>
      <c r="K28" s="12">
        <f>LoanModule!F43</f>
        <v>168894.09496049507</v>
      </c>
      <c r="L28" s="12">
        <f>LoanModule!F44</f>
        <v>162923.31759262024</v>
      </c>
      <c r="M28" s="12">
        <f>LoanModule!F45</f>
        <v>156912.73504229292</v>
      </c>
    </row>
    <row r="29" spans="1:13" x14ac:dyDescent="0.25">
      <c r="A29" s="4" t="s">
        <v>96</v>
      </c>
      <c r="B29" s="14">
        <f t="shared" ref="B29:M29" si="4">SUM(B28:B28)</f>
        <v>220882.78299394299</v>
      </c>
      <c r="C29" s="14">
        <f t="shared" si="4"/>
        <v>215258.5968796245</v>
      </c>
      <c r="D29" s="14">
        <f t="shared" si="4"/>
        <v>209596.91619121053</v>
      </c>
      <c r="E29" s="14">
        <f t="shared" si="4"/>
        <v>203897.49096487381</v>
      </c>
      <c r="F29" s="14">
        <f t="shared" si="4"/>
        <v>198160.06957036152</v>
      </c>
      <c r="G29" s="14">
        <f t="shared" si="4"/>
        <v>192384.39869988582</v>
      </c>
      <c r="H29" s="14">
        <f t="shared" si="4"/>
        <v>186570.22335694026</v>
      </c>
      <c r="I29" s="14">
        <f t="shared" si="4"/>
        <v>180717.28684504173</v>
      </c>
      <c r="J29" s="14">
        <f t="shared" si="4"/>
        <v>174825.33075639722</v>
      </c>
      <c r="K29" s="14">
        <f t="shared" si="4"/>
        <v>168894.09496049507</v>
      </c>
      <c r="L29" s="14">
        <f t="shared" si="4"/>
        <v>162923.31759262024</v>
      </c>
      <c r="M29" s="14">
        <f t="shared" si="4"/>
        <v>156912.73504229292</v>
      </c>
    </row>
    <row r="31" spans="1:13" x14ac:dyDescent="0.25">
      <c r="A31" s="4" t="s">
        <v>97</v>
      </c>
      <c r="B31" s="9">
        <f t="shared" ref="B31:M31" si="5">B25+B29</f>
        <v>233794.84024735165</v>
      </c>
      <c r="C31" s="9">
        <f t="shared" si="5"/>
        <v>228181.54585306908</v>
      </c>
      <c r="D31" s="9">
        <f t="shared" si="5"/>
        <v>222530.99763224748</v>
      </c>
      <c r="E31" s="9">
        <f t="shared" si="5"/>
        <v>216842.94531475144</v>
      </c>
      <c r="F31" s="9">
        <f t="shared" si="5"/>
        <v>211117.13698443928</v>
      </c>
      <c r="G31" s="9">
        <f t="shared" si="5"/>
        <v>205353.31906801241</v>
      </c>
      <c r="H31" s="9">
        <f t="shared" si="5"/>
        <v>199551.23632379272</v>
      </c>
      <c r="I31" s="9">
        <f t="shared" si="5"/>
        <v>193710.63183042742</v>
      </c>
      <c r="J31" s="9">
        <f t="shared" si="5"/>
        <v>187831.2469755208</v>
      </c>
      <c r="K31" s="9">
        <f t="shared" si="5"/>
        <v>181912.82144419244</v>
      </c>
      <c r="L31" s="9">
        <f t="shared" si="5"/>
        <v>175955.09320756129</v>
      </c>
      <c r="M31" s="9">
        <f t="shared" si="5"/>
        <v>169957.79851115539</v>
      </c>
    </row>
    <row r="33" spans="1:13" x14ac:dyDescent="0.25">
      <c r="A33" t="s">
        <v>98</v>
      </c>
    </row>
    <row r="34" spans="1:13" x14ac:dyDescent="0.25">
      <c r="A34" t="s">
        <v>99</v>
      </c>
      <c r="B34" s="12">
        <f>BalanceSheet_Year2!M34</f>
        <v>152000</v>
      </c>
      <c r="C34" s="12">
        <f t="shared" ref="C34:M34" si="6">B34</f>
        <v>152000</v>
      </c>
      <c r="D34" s="12">
        <f t="shared" si="6"/>
        <v>152000</v>
      </c>
      <c r="E34" s="12">
        <f t="shared" si="6"/>
        <v>152000</v>
      </c>
      <c r="F34" s="12">
        <f t="shared" si="6"/>
        <v>152000</v>
      </c>
      <c r="G34" s="12">
        <f t="shared" si="6"/>
        <v>152000</v>
      </c>
      <c r="H34" s="12">
        <f t="shared" si="6"/>
        <v>152000</v>
      </c>
      <c r="I34" s="12">
        <f t="shared" si="6"/>
        <v>152000</v>
      </c>
      <c r="J34" s="12">
        <f t="shared" si="6"/>
        <v>152000</v>
      </c>
      <c r="K34" s="12">
        <f t="shared" si="6"/>
        <v>152000</v>
      </c>
      <c r="L34" s="12">
        <f t="shared" si="6"/>
        <v>152000</v>
      </c>
      <c r="M34" s="12">
        <f t="shared" si="6"/>
        <v>152000</v>
      </c>
    </row>
    <row r="35" spans="1:13" x14ac:dyDescent="0.25">
      <c r="A35" t="s">
        <v>100</v>
      </c>
      <c r="B35" s="12">
        <f>0+BalanceSheet_Year2!M35</f>
        <v>0</v>
      </c>
      <c r="C35" s="12">
        <f t="shared" ref="C35:M35" si="7">0+B35</f>
        <v>0</v>
      </c>
      <c r="D35" s="12">
        <f t="shared" si="7"/>
        <v>0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</row>
    <row r="36" spans="1:13" x14ac:dyDescent="0.25">
      <c r="A36" t="s">
        <v>16</v>
      </c>
      <c r="B36" s="12">
        <f>BalanceSheet_Year2!M36+DATA!Z40</f>
        <v>0</v>
      </c>
      <c r="C36" s="12">
        <f>B36+DATA!AA40</f>
        <v>0</v>
      </c>
      <c r="D36" s="12">
        <f>C36+DATA!AB40</f>
        <v>0</v>
      </c>
      <c r="E36" s="12">
        <f>D36+DATA!AC40</f>
        <v>0</v>
      </c>
      <c r="F36" s="12">
        <f>E36+DATA!AD40</f>
        <v>0</v>
      </c>
      <c r="G36" s="12">
        <f>F36+DATA!AE40</f>
        <v>0</v>
      </c>
      <c r="H36" s="12">
        <f>G36+DATA!AF40</f>
        <v>0</v>
      </c>
      <c r="I36" s="12">
        <f>H36+DATA!AG40</f>
        <v>0</v>
      </c>
      <c r="J36" s="12">
        <f>I36+DATA!AH40</f>
        <v>0</v>
      </c>
      <c r="K36" s="12">
        <f>J36+DATA!AI40</f>
        <v>0</v>
      </c>
      <c r="L36" s="12">
        <f>K36+DATA!AJ40</f>
        <v>0</v>
      </c>
      <c r="M36" s="12">
        <f>L36+DATA!AK40</f>
        <v>0</v>
      </c>
    </row>
    <row r="37" spans="1:13" x14ac:dyDescent="0.25">
      <c r="A37" t="s">
        <v>101</v>
      </c>
      <c r="B37" s="12">
        <f>(BalanceSheet_Year2!M37+IncomeStatement_Year3!B37)-B36</f>
        <v>121768.52245705824</v>
      </c>
      <c r="C37" s="12">
        <f>(B37+IncomeStatement_Year3!C37)-C36</f>
        <v>132830.6617199904</v>
      </c>
      <c r="D37" s="12">
        <f>(C37+IncomeStatement_Year3!D37)-D36</f>
        <v>143993.85509094913</v>
      </c>
      <c r="E37" s="12">
        <f>(D37+IncomeStatement_Year3!E37)-E36</f>
        <v>155258.0433860278</v>
      </c>
      <c r="F37" s="12">
        <f>(E37+IncomeStatement_Year3!F37)-F36</f>
        <v>166623.17000316427</v>
      </c>
      <c r="G37" s="12">
        <f>(F37+IncomeStatement_Year3!G37)-G36</f>
        <v>178089.18089318185</v>
      </c>
      <c r="H37" s="12">
        <f>(G37+IncomeStatement_Year3!H37)-H36</f>
        <v>189656.02453098362</v>
      </c>
      <c r="I37" s="12">
        <f>(H37+IncomeStatement_Year3!I37)-I36</f>
        <v>201323.65188689696</v>
      </c>
      <c r="J37" s="12">
        <f>(I37+IncomeStatement_Year3!J37)-J36</f>
        <v>213092.01639816459</v>
      </c>
      <c r="K37" s="12">
        <f>(J37+IncomeStatement_Year3!K37)-K36</f>
        <v>224961.07394057864</v>
      </c>
      <c r="L37" s="12">
        <f>(K37+IncomeStatement_Year3!L37)-L36</f>
        <v>236930.78280025424</v>
      </c>
      <c r="M37" s="12">
        <f>(L37+IncomeStatement_Year3!M37)-M36</f>
        <v>249001.10364553932</v>
      </c>
    </row>
    <row r="38" spans="1:13" x14ac:dyDescent="0.25">
      <c r="A38" s="4" t="s">
        <v>102</v>
      </c>
      <c r="B38" s="9">
        <f>SUM(B34:B37)-B36+SUM(BalanceSheet_Year1!C36:N36)+SUM(BalanceSheet_Year2!B36:M36)</f>
        <v>273768.52245705825</v>
      </c>
      <c r="C38" s="9">
        <f>SUM(C34:C37)-C36+SUM(BalanceSheet_Year1!C36:N36)+SUM(BalanceSheet_Year2!B36:M36)+SUM(BalanceSheet_Year3!B36:B36)</f>
        <v>284830.66171999043</v>
      </c>
      <c r="D38" s="9">
        <f>SUM(D34:D37)-D36+SUM(BalanceSheet_Year1!C36:N36)+SUM(BalanceSheet_Year2!B36:M36)+SUM(BalanceSheet_Year3!B36:C36)</f>
        <v>295993.8550909491</v>
      </c>
      <c r="E38" s="9">
        <f>SUM(E34:E37)-E36+SUM(BalanceSheet_Year1!C36:N36)+SUM(BalanceSheet_Year2!B36:M36)+SUM(BalanceSheet_Year3!B36:D36)</f>
        <v>307258.0433860278</v>
      </c>
      <c r="F38" s="9">
        <f>SUM(F34:F37)-F36+SUM(BalanceSheet_Year1!C36:N36)+SUM(BalanceSheet_Year2!B36:M36)+SUM(BalanceSheet_Year3!B36:E36)</f>
        <v>318623.17000316427</v>
      </c>
      <c r="G38" s="9">
        <f>SUM(G34:G37)-G36+SUM(BalanceSheet_Year1!C36:N36)+SUM(BalanceSheet_Year2!B36:M36)+SUM(BalanceSheet_Year3!B36:F36)</f>
        <v>330089.18089318182</v>
      </c>
      <c r="H38" s="9">
        <f>SUM(H34:H37)-H36+SUM(BalanceSheet_Year1!C36:N36)+SUM(BalanceSheet_Year2!B36:M36)+SUM(BalanceSheet_Year3!B36:G36)</f>
        <v>341656.02453098365</v>
      </c>
      <c r="I38" s="9">
        <f>SUM(I34:I37)-I36+SUM(BalanceSheet_Year1!C36:N36)+SUM(BalanceSheet_Year2!B36:M36)+SUM(BalanceSheet_Year3!B36:H36)</f>
        <v>353323.65188689693</v>
      </c>
      <c r="J38" s="9">
        <f>SUM(J34:J37)-J36+SUM(BalanceSheet_Year1!C36:N36)+SUM(BalanceSheet_Year2!B36:M36)+SUM(BalanceSheet_Year3!B36:I36)</f>
        <v>365092.01639816456</v>
      </c>
      <c r="K38" s="9">
        <f>SUM(K34:K37)-K36+SUM(BalanceSheet_Year1!C36:N36)+SUM(BalanceSheet_Year2!B36:M36)+SUM(BalanceSheet_Year3!B36:J36)</f>
        <v>376961.07394057862</v>
      </c>
      <c r="L38" s="9">
        <f>SUM(L34:L37)-L36+SUM(BalanceSheet_Year1!C36:N36)+SUM(BalanceSheet_Year2!B36:M36)+SUM(BalanceSheet_Year3!B36:K36)</f>
        <v>388930.78280025424</v>
      </c>
      <c r="M38" s="9">
        <f>SUM(M34:M37)-M36+SUM(BalanceSheet_Year1!C36:N36)+SUM(BalanceSheet_Year2!B36:M36)+SUM(BalanceSheet_Year3!B36:L36)</f>
        <v>401001.10364553932</v>
      </c>
    </row>
    <row r="40" spans="1:13" x14ac:dyDescent="0.25">
      <c r="A40" s="4" t="s">
        <v>103</v>
      </c>
      <c r="B40" s="9">
        <f t="shared" ref="B40:M40" si="8">B38+B31</f>
        <v>507563.36270440987</v>
      </c>
      <c r="C40" s="9">
        <f t="shared" si="8"/>
        <v>513012.20757305948</v>
      </c>
      <c r="D40" s="9">
        <f t="shared" si="8"/>
        <v>518524.85272319661</v>
      </c>
      <c r="E40" s="9">
        <f t="shared" si="8"/>
        <v>524100.98870077927</v>
      </c>
      <c r="F40" s="9">
        <f t="shared" si="8"/>
        <v>529740.30698760354</v>
      </c>
      <c r="G40" s="9">
        <f t="shared" si="8"/>
        <v>535442.49996119423</v>
      </c>
      <c r="H40" s="9">
        <f t="shared" si="8"/>
        <v>541207.26085477637</v>
      </c>
      <c r="I40" s="9">
        <f t="shared" si="8"/>
        <v>547034.28371732438</v>
      </c>
      <c r="J40" s="9">
        <f t="shared" si="8"/>
        <v>552923.2633736853</v>
      </c>
      <c r="K40" s="9">
        <f t="shared" si="8"/>
        <v>558873.89538477105</v>
      </c>
      <c r="L40" s="9">
        <f t="shared" si="8"/>
        <v>564885.87600781559</v>
      </c>
      <c r="M40" s="9">
        <f t="shared" si="8"/>
        <v>570958.90215669468</v>
      </c>
    </row>
    <row r="45" spans="1:13" x14ac:dyDescent="0.25">
      <c r="A45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6" workbookViewId="0">
      <selection activeCell="A11" sqref="A11:XFD11"/>
    </sheetView>
  </sheetViews>
  <sheetFormatPr defaultColWidth="8.85546875" defaultRowHeight="15" x14ac:dyDescent="0.25"/>
  <cols>
    <col min="1" max="1" width="34.140625" bestFit="1" customWidth="1"/>
    <col min="2" max="12" width="11.7109375" bestFit="1" customWidth="1"/>
    <col min="13" max="13" width="10.42578125" bestFit="1" customWidth="1"/>
  </cols>
  <sheetData>
    <row r="1" spans="1:13" x14ac:dyDescent="0.25">
      <c r="A1" t="str">
        <f>DATA!B1</f>
        <v>Example Trucking Company</v>
      </c>
    </row>
    <row r="2" spans="1:13" x14ac:dyDescent="0.25">
      <c r="A2" t="s">
        <v>79</v>
      </c>
    </row>
    <row r="3" spans="1:13" x14ac:dyDescent="0.25">
      <c r="A3" t="s">
        <v>120</v>
      </c>
    </row>
    <row r="5" spans="1:13" x14ac:dyDescent="0.25">
      <c r="A5" t="s">
        <v>80</v>
      </c>
      <c r="B5">
        <v>37</v>
      </c>
      <c r="C5">
        <v>38</v>
      </c>
      <c r="D5">
        <v>39</v>
      </c>
      <c r="E5">
        <v>40</v>
      </c>
      <c r="F5">
        <v>41</v>
      </c>
      <c r="G5">
        <v>42</v>
      </c>
      <c r="H5">
        <v>43</v>
      </c>
      <c r="I5">
        <v>44</v>
      </c>
      <c r="J5">
        <v>45</v>
      </c>
      <c r="K5">
        <v>46</v>
      </c>
      <c r="L5">
        <v>47</v>
      </c>
      <c r="M5">
        <v>48</v>
      </c>
    </row>
    <row r="7" spans="1:13" x14ac:dyDescent="0.25">
      <c r="A7" t="s">
        <v>81</v>
      </c>
    </row>
    <row r="8" spans="1:13" x14ac:dyDescent="0.25">
      <c r="A8" t="s">
        <v>82</v>
      </c>
    </row>
    <row r="9" spans="1:13" x14ac:dyDescent="0.25">
      <c r="A9" t="s">
        <v>83</v>
      </c>
      <c r="B9" s="12">
        <f>CashFlowStatement_Year4!B7+CashFlowStatement_Year4!B35</f>
        <v>213993.15064019081</v>
      </c>
      <c r="C9" s="12">
        <f>CashFlowStatement_Year4!C7+CashFlowStatement_Year4!C35</f>
        <v>222525.57985857056</v>
      </c>
      <c r="D9" s="12">
        <f>CashFlowStatement_Year4!D7+CashFlowStatement_Year4!D35</f>
        <v>231118.02442963363</v>
      </c>
      <c r="E9" s="12">
        <f>CashFlowStatement_Year4!E7+CashFlowStatement_Year4!E35</f>
        <v>239770.1833736487</v>
      </c>
      <c r="F9" s="12">
        <f>CashFlowStatement_Year4!F7+CashFlowStatement_Year4!F35</f>
        <v>248481.75616978205</v>
      </c>
      <c r="G9" s="12">
        <f>CashFlowStatement_Year4!G7+CashFlowStatement_Year4!G35</f>
        <v>257252.4427167025</v>
      </c>
      <c r="H9" s="12">
        <f>CashFlowStatement_Year4!H7+CashFlowStatement_Year4!H35</f>
        <v>266081.94329322019</v>
      </c>
      <c r="I9" s="12">
        <f>CashFlowStatement_Year4!I7+CashFlowStatement_Year4!I35</f>
        <v>274969.9585189551</v>
      </c>
      <c r="J9" s="12">
        <f>CashFlowStatement_Year4!J7+CashFlowStatement_Year4!J35</f>
        <v>283916.18931503152</v>
      </c>
      <c r="K9" s="12">
        <f>CashFlowStatement_Year4!K7+CashFlowStatement_Year4!K35</f>
        <v>292920.33686479466</v>
      </c>
      <c r="L9" s="12">
        <f>CashFlowStatement_Year4!L7+CashFlowStatement_Year4!L35</f>
        <v>301982.10257454496</v>
      </c>
      <c r="M9" s="12">
        <f>CashFlowStatement_Year4!M7+CashFlowStatement_Year4!M35</f>
        <v>311101.18803428684</v>
      </c>
    </row>
    <row r="10" spans="1:13" x14ac:dyDescent="0.25">
      <c r="A10" t="s">
        <v>84</v>
      </c>
      <c r="B10" s="12">
        <f>IncomeStatement_Year4!B8-CashFlowStatement_Year4!B10+BalanceSheet_Year3!M10</f>
        <v>0</v>
      </c>
      <c r="C10" s="12">
        <f>IncomeStatement_Year4!C8-CashFlowStatement_Year4!C10+B10</f>
        <v>0</v>
      </c>
      <c r="D10" s="12">
        <f>IncomeStatement_Year4!D8-CashFlowStatement_Year4!D10+C10</f>
        <v>0</v>
      </c>
      <c r="E10" s="12">
        <f>IncomeStatement_Year4!E8-CashFlowStatement_Year4!E10+D10</f>
        <v>0</v>
      </c>
      <c r="F10" s="12">
        <f>IncomeStatement_Year4!F8-CashFlowStatement_Year4!F10+E10</f>
        <v>0</v>
      </c>
      <c r="G10" s="12">
        <f>IncomeStatement_Year4!G8-CashFlowStatement_Year4!G10+F10</f>
        <v>0</v>
      </c>
      <c r="H10" s="12">
        <f>IncomeStatement_Year4!H8-CashFlowStatement_Year4!H10+G10</f>
        <v>0</v>
      </c>
      <c r="I10" s="12">
        <f>IncomeStatement_Year4!I8-CashFlowStatement_Year4!I10+H10</f>
        <v>0</v>
      </c>
      <c r="J10" s="12">
        <f>IncomeStatement_Year4!J8-CashFlowStatement_Year4!J10+I10</f>
        <v>0</v>
      </c>
      <c r="K10" s="12">
        <f>IncomeStatement_Year4!K8-CashFlowStatement_Year4!K10+J10</f>
        <v>0</v>
      </c>
      <c r="L10" s="12">
        <f>IncomeStatement_Year4!L8-CashFlowStatement_Year4!L10+K10</f>
        <v>0</v>
      </c>
      <c r="M10" s="12">
        <f>IncomeStatement_Year4!M8-CashFlowStatement_Year4!M10+L10</f>
        <v>0</v>
      </c>
    </row>
    <row r="11" spans="1:13" hidden="1" x14ac:dyDescent="0.25">
      <c r="A11" t="s">
        <v>85</v>
      </c>
      <c r="B11" s="12">
        <f>IncomeStatement_Year4!B10*DATA!$B$3</f>
        <v>0</v>
      </c>
      <c r="C11" s="12">
        <f>IncomeStatement_Year4!C10*DATA!$B$3</f>
        <v>0</v>
      </c>
      <c r="D11" s="12">
        <f>IncomeStatement_Year4!D10*DATA!$B$3</f>
        <v>0</v>
      </c>
      <c r="E11" s="12">
        <f>IncomeStatement_Year4!E10*DATA!$B$3</f>
        <v>0</v>
      </c>
      <c r="F11" s="12">
        <f>IncomeStatement_Year4!F10*DATA!$B$3</f>
        <v>0</v>
      </c>
      <c r="G11" s="12">
        <f>IncomeStatement_Year4!G10*DATA!$B$3</f>
        <v>0</v>
      </c>
      <c r="H11" s="12">
        <f>IncomeStatement_Year4!H10*DATA!$B$3</f>
        <v>0</v>
      </c>
      <c r="I11" s="12">
        <f>IncomeStatement_Year4!I10*DATA!$B$3</f>
        <v>0</v>
      </c>
      <c r="J11" s="12">
        <f>IncomeStatement_Year4!J10*DATA!$B$3</f>
        <v>0</v>
      </c>
      <c r="K11" s="12">
        <f>IncomeStatement_Year4!K10*DATA!$B$3</f>
        <v>0</v>
      </c>
      <c r="L11" s="12">
        <f>IncomeStatement_Year4!L10*DATA!$B$3</f>
        <v>0</v>
      </c>
      <c r="M11" s="12">
        <f>IncomeStatement_Year4!M10*DATA!$B$3</f>
        <v>0</v>
      </c>
    </row>
    <row r="12" spans="1:13" x14ac:dyDescent="0.25">
      <c r="A12" s="4" t="s">
        <v>86</v>
      </c>
      <c r="B12" s="14">
        <f t="shared" ref="B12:M12" si="0">SUM(B9:B11)</f>
        <v>213993.15064019081</v>
      </c>
      <c r="C12" s="14">
        <f t="shared" si="0"/>
        <v>222525.57985857056</v>
      </c>
      <c r="D12" s="14">
        <f t="shared" si="0"/>
        <v>231118.02442963363</v>
      </c>
      <c r="E12" s="14">
        <f t="shared" si="0"/>
        <v>239770.1833736487</v>
      </c>
      <c r="F12" s="14">
        <f t="shared" si="0"/>
        <v>248481.75616978205</v>
      </c>
      <c r="G12" s="14">
        <f t="shared" si="0"/>
        <v>257252.4427167025</v>
      </c>
      <c r="H12" s="14">
        <f t="shared" si="0"/>
        <v>266081.94329322019</v>
      </c>
      <c r="I12" s="14">
        <f t="shared" si="0"/>
        <v>274969.9585189551</v>
      </c>
      <c r="J12" s="14">
        <f t="shared" si="0"/>
        <v>283916.18931503152</v>
      </c>
      <c r="K12" s="14">
        <f t="shared" si="0"/>
        <v>292920.33686479466</v>
      </c>
      <c r="L12" s="14">
        <f t="shared" si="0"/>
        <v>301982.10257454496</v>
      </c>
      <c r="M12" s="14">
        <f t="shared" si="0"/>
        <v>311101.18803428684</v>
      </c>
    </row>
    <row r="14" spans="1:13" x14ac:dyDescent="0.25">
      <c r="A14" t="s">
        <v>87</v>
      </c>
    </row>
    <row r="15" spans="1:13" x14ac:dyDescent="0.25">
      <c r="A15" t="s">
        <v>167</v>
      </c>
      <c r="B15" s="12">
        <f>IF(B5=DATA!E19,DATA!B19,0)+BalanceSheet_Year3!M15</f>
        <v>300000</v>
      </c>
      <c r="C15" s="12">
        <f>IF(C5=DATA!E19,DATA!B19,0)+B15</f>
        <v>300000</v>
      </c>
      <c r="D15" s="12">
        <f>IF(D5=DATA!E19,DATA!B19,0)+C15</f>
        <v>300000</v>
      </c>
      <c r="E15" s="12">
        <f>IF(E5=DATA!E19,DATA!B19,0)+D15</f>
        <v>300000</v>
      </c>
      <c r="F15" s="12">
        <f>IF(F5=DATA!E19,DATA!B19,0)+E15</f>
        <v>300000</v>
      </c>
      <c r="G15" s="12">
        <f>IF(G5=DATA!E19,DATA!B19,0)+F15</f>
        <v>300000</v>
      </c>
      <c r="H15" s="12">
        <f>IF(H5=DATA!E19,DATA!B19,0)+G15</f>
        <v>300000</v>
      </c>
      <c r="I15" s="12">
        <f>IF(I5=DATA!E19,DATA!B19,0)+H15</f>
        <v>300000</v>
      </c>
      <c r="J15" s="12">
        <f>IF(J5=DATA!E19,DATA!B19,0)+I15</f>
        <v>300000</v>
      </c>
      <c r="K15" s="12">
        <f>IF(K5=DATA!E19,DATA!B19,0)+J15</f>
        <v>300000</v>
      </c>
      <c r="L15" s="12">
        <f>IF(L5=DATA!E19,DATA!B19,0)+K15</f>
        <v>300000</v>
      </c>
      <c r="M15" s="12">
        <f>IF(M5=DATA!E19,DATA!B19,0)+L15</f>
        <v>300000</v>
      </c>
    </row>
    <row r="16" spans="1:13" x14ac:dyDescent="0.25">
      <c r="A16" t="s">
        <v>168</v>
      </c>
      <c r="B16" s="12">
        <f>IF(B5=DATA!E22,DATA!B22,0)+BalanceSheet_Year3!M16</f>
        <v>150000</v>
      </c>
      <c r="C16" s="12">
        <f>IF(C5=DATA!E22,DATA!B22,0)+B16</f>
        <v>150000</v>
      </c>
      <c r="D16" s="12">
        <f>IF(D5=DATA!E22,DATA!B22,0)+C16</f>
        <v>150000</v>
      </c>
      <c r="E16" s="12">
        <f>IF(E5=DATA!E22,DATA!B22,0)+D16</f>
        <v>150000</v>
      </c>
      <c r="F16" s="12">
        <f>IF(F5=DATA!E22,DATA!B22,0)+E16</f>
        <v>150000</v>
      </c>
      <c r="G16" s="12">
        <f>IF(G5=DATA!E22,DATA!B22,0)+F16</f>
        <v>150000</v>
      </c>
      <c r="H16" s="12">
        <f>IF(H5=DATA!E22,DATA!B22,0)+G16</f>
        <v>150000</v>
      </c>
      <c r="I16" s="12">
        <f>IF(I5=DATA!E22,DATA!B22,0)+H16</f>
        <v>150000</v>
      </c>
      <c r="J16" s="12">
        <f>IF(J5=DATA!E22,DATA!B22,0)+I16</f>
        <v>150000</v>
      </c>
      <c r="K16" s="12">
        <f>IF(K5=DATA!E22,DATA!B22,0)+J16</f>
        <v>150000</v>
      </c>
      <c r="L16" s="12">
        <f>IF(L5=DATA!E22,DATA!B22,0)+K16</f>
        <v>150000</v>
      </c>
      <c r="M16" s="12">
        <f>IF(M5=DATA!E22,DATA!B22,0)+L16</f>
        <v>150000</v>
      </c>
    </row>
    <row r="17" spans="1:13" x14ac:dyDescent="0.25">
      <c r="A17" t="s">
        <v>88</v>
      </c>
      <c r="B17" s="12">
        <f>-(IncomeStatement_Year4!B30-BalanceSheet_Year3!M17)</f>
        <v>-97125</v>
      </c>
      <c r="C17" s="12">
        <f>-(IncomeStatement_Year4!C30-B17)</f>
        <v>-99750</v>
      </c>
      <c r="D17" s="12">
        <f>-(IncomeStatement_Year4!D30-C17)</f>
        <v>-102375</v>
      </c>
      <c r="E17" s="12">
        <f>-(IncomeStatement_Year4!E30-D17)</f>
        <v>-105000</v>
      </c>
      <c r="F17" s="12">
        <f>-(IncomeStatement_Year4!F30-E17)</f>
        <v>-107625</v>
      </c>
      <c r="G17" s="12">
        <f>-(IncomeStatement_Year4!G30-F17)</f>
        <v>-110250</v>
      </c>
      <c r="H17" s="12">
        <f>-(IncomeStatement_Year4!H30-G17)</f>
        <v>-112875</v>
      </c>
      <c r="I17" s="12">
        <f>-(IncomeStatement_Year4!I30-H17)</f>
        <v>-115500</v>
      </c>
      <c r="J17" s="12">
        <f>-(IncomeStatement_Year4!J30-I17)</f>
        <v>-118125</v>
      </c>
      <c r="K17" s="12">
        <f>-(IncomeStatement_Year4!K30-J17)</f>
        <v>-120750</v>
      </c>
      <c r="L17" s="12">
        <f>-(IncomeStatement_Year4!L30-K17)</f>
        <v>-123375</v>
      </c>
      <c r="M17" s="12">
        <f>-(IncomeStatement_Year4!M30-L17)</f>
        <v>-126000</v>
      </c>
    </row>
    <row r="18" spans="1:13" x14ac:dyDescent="0.25">
      <c r="A18" s="4" t="s">
        <v>89</v>
      </c>
      <c r="B18" s="14">
        <f t="shared" ref="B18:M18" si="1">SUM(B15:B17)</f>
        <v>352875</v>
      </c>
      <c r="C18" s="14">
        <f t="shared" si="1"/>
        <v>350250</v>
      </c>
      <c r="D18" s="14">
        <f t="shared" si="1"/>
        <v>347625</v>
      </c>
      <c r="E18" s="14">
        <f t="shared" si="1"/>
        <v>345000</v>
      </c>
      <c r="F18" s="14">
        <f t="shared" si="1"/>
        <v>342375</v>
      </c>
      <c r="G18" s="14">
        <f t="shared" si="1"/>
        <v>339750</v>
      </c>
      <c r="H18" s="14">
        <f t="shared" si="1"/>
        <v>337125</v>
      </c>
      <c r="I18" s="14">
        <f t="shared" si="1"/>
        <v>334500</v>
      </c>
      <c r="J18" s="14">
        <f t="shared" si="1"/>
        <v>331875</v>
      </c>
      <c r="K18" s="14">
        <f t="shared" si="1"/>
        <v>329250</v>
      </c>
      <c r="L18" s="14">
        <f t="shared" si="1"/>
        <v>326625</v>
      </c>
      <c r="M18" s="14">
        <f t="shared" si="1"/>
        <v>324000</v>
      </c>
    </row>
    <row r="20" spans="1:13" x14ac:dyDescent="0.25">
      <c r="A20" s="4" t="s">
        <v>90</v>
      </c>
      <c r="B20" s="9">
        <f t="shared" ref="B20:M20" si="2">B12+B18</f>
        <v>566868.15064019081</v>
      </c>
      <c r="C20" s="9">
        <f t="shared" si="2"/>
        <v>572775.57985857059</v>
      </c>
      <c r="D20" s="9">
        <f t="shared" si="2"/>
        <v>578743.02442963363</v>
      </c>
      <c r="E20" s="9">
        <f t="shared" si="2"/>
        <v>584770.18337364867</v>
      </c>
      <c r="F20" s="9">
        <f t="shared" si="2"/>
        <v>590856.75616978202</v>
      </c>
      <c r="G20" s="9">
        <f t="shared" si="2"/>
        <v>597002.44271670247</v>
      </c>
      <c r="H20" s="9">
        <f t="shared" si="2"/>
        <v>603206.94329322013</v>
      </c>
      <c r="I20" s="9">
        <f t="shared" si="2"/>
        <v>609469.95851895516</v>
      </c>
      <c r="J20" s="9">
        <f t="shared" si="2"/>
        <v>615791.18931503152</v>
      </c>
      <c r="K20" s="9">
        <f t="shared" si="2"/>
        <v>622170.3368647946</v>
      </c>
      <c r="L20" s="9">
        <f t="shared" si="2"/>
        <v>628607.10257454496</v>
      </c>
      <c r="M20" s="9">
        <f t="shared" si="2"/>
        <v>635101.18803428684</v>
      </c>
    </row>
    <row r="22" spans="1:13" x14ac:dyDescent="0.25">
      <c r="A22" s="4" t="s">
        <v>91</v>
      </c>
    </row>
    <row r="23" spans="1:13" x14ac:dyDescent="0.25">
      <c r="A23" t="s">
        <v>92</v>
      </c>
    </row>
    <row r="24" spans="1:13" x14ac:dyDescent="0.25">
      <c r="A24" t="s">
        <v>93</v>
      </c>
      <c r="B24" s="12">
        <f>(IncomeStatement_Year4!B12+SUM(IncomeStatement_Year4!B18:B26)+IncomeStatement_Year4!B29)/2</f>
        <v>13120.788153573161</v>
      </c>
      <c r="C24" s="12">
        <f>(IncomeStatement_Year4!C12+SUM(IncomeStatement_Year4!C18:C26)+IncomeStatement_Year4!C29)/2</f>
        <v>13134.61529966713</v>
      </c>
      <c r="D24" s="12">
        <f>(IncomeStatement_Year4!D12+SUM(IncomeStatement_Year4!D18:D26)+IncomeStatement_Year4!D29)/2</f>
        <v>13148.680919442286</v>
      </c>
      <c r="E24" s="12">
        <f>(IncomeStatement_Year4!E12+SUM(IncomeStatement_Year4!E18:E26)+IncomeStatement_Year4!E29)/2</f>
        <v>13162.984949412792</v>
      </c>
      <c r="F24" s="12">
        <f>(IncomeStatement_Year4!F12+SUM(IncomeStatement_Year4!F18:F26)+IncomeStatement_Year4!F29)/2</f>
        <v>13177.527346151084</v>
      </c>
      <c r="G24" s="12">
        <f>(IncomeStatement_Year4!G12+SUM(IncomeStatement_Year4!G18:G26)+IncomeStatement_Year4!G29)/2</f>
        <v>13192.308086270699</v>
      </c>
      <c r="H24" s="12">
        <f>(IncomeStatement_Year4!H12+SUM(IncomeStatement_Year4!H18:H26)+IncomeStatement_Year4!H29)/2</f>
        <v>13207.327166411054</v>
      </c>
      <c r="I24" s="12">
        <f>(IncomeStatement_Year4!I12+SUM(IncomeStatement_Year4!I18:I26)+IncomeStatement_Year4!I29)/2</f>
        <v>13222.584603224246</v>
      </c>
      <c r="J24" s="12">
        <f>(IncomeStatement_Year4!J12+SUM(IncomeStatement_Year4!J18:J26)+IncomeStatement_Year4!J29)/2</f>
        <v>13238.080433363766</v>
      </c>
      <c r="K24" s="12">
        <f>(IncomeStatement_Year4!K12+SUM(IncomeStatement_Year4!K18:K26)+IncomeStatement_Year4!K29)/2</f>
        <v>13253.814713475225</v>
      </c>
      <c r="L24" s="12">
        <f>(IncomeStatement_Year4!L12+SUM(IncomeStatement_Year4!L18:L26)+IncomeStatement_Year4!L29)/2</f>
        <v>13269.787520189026</v>
      </c>
      <c r="M24" s="12">
        <f>(IncomeStatement_Year4!M12+SUM(IncomeStatement_Year4!M18:M26)+IncomeStatement_Year4!M29)/2</f>
        <v>13285.998950115005</v>
      </c>
    </row>
    <row r="25" spans="1:13" x14ac:dyDescent="0.25">
      <c r="A25" s="4" t="s">
        <v>94</v>
      </c>
      <c r="B25" s="14">
        <f t="shared" ref="B25:M25" si="3">B24</f>
        <v>13120.788153573161</v>
      </c>
      <c r="C25" s="14">
        <f t="shared" si="3"/>
        <v>13134.61529966713</v>
      </c>
      <c r="D25" s="14">
        <f t="shared" si="3"/>
        <v>13148.680919442286</v>
      </c>
      <c r="E25" s="14">
        <f t="shared" si="3"/>
        <v>13162.984949412792</v>
      </c>
      <c r="F25" s="14">
        <f t="shared" si="3"/>
        <v>13177.527346151084</v>
      </c>
      <c r="G25" s="14">
        <f t="shared" si="3"/>
        <v>13192.308086270699</v>
      </c>
      <c r="H25" s="14">
        <f t="shared" si="3"/>
        <v>13207.327166411054</v>
      </c>
      <c r="I25" s="14">
        <f t="shared" si="3"/>
        <v>13222.584603224246</v>
      </c>
      <c r="J25" s="14">
        <f t="shared" si="3"/>
        <v>13238.080433363766</v>
      </c>
      <c r="K25" s="14">
        <f t="shared" si="3"/>
        <v>13253.814713475225</v>
      </c>
      <c r="L25" s="14">
        <f t="shared" si="3"/>
        <v>13269.787520189026</v>
      </c>
      <c r="M25" s="14">
        <f t="shared" si="3"/>
        <v>13285.998950115005</v>
      </c>
    </row>
    <row r="27" spans="1:13" x14ac:dyDescent="0.25">
      <c r="A27" t="s">
        <v>95</v>
      </c>
    </row>
    <row r="28" spans="1:13" x14ac:dyDescent="0.25">
      <c r="A28" t="str">
        <f>LoanModule!C1</f>
        <v>Bank Loan</v>
      </c>
      <c r="B28" s="12">
        <f>LoanModule!F46</f>
        <v>150862.08194163008</v>
      </c>
      <c r="C28" s="12">
        <f>LoanModule!F47</f>
        <v>144771.0911536295</v>
      </c>
      <c r="D28" s="12">
        <f>LoanModule!F48</f>
        <v>138639.49376037557</v>
      </c>
      <c r="E28" s="12">
        <f>LoanModule!F49</f>
        <v>132467.01905116663</v>
      </c>
      <c r="F28" s="12">
        <f>LoanModule!F50</f>
        <v>126253.39451056295</v>
      </c>
      <c r="G28" s="12">
        <f>LoanModule!F51</f>
        <v>119998.34580635525</v>
      </c>
      <c r="H28" s="12">
        <f>LoanModule!F52</f>
        <v>113701.59677745284</v>
      </c>
      <c r="I28" s="12">
        <f>LoanModule!F53</f>
        <v>107362.86942169107</v>
      </c>
      <c r="J28" s="12">
        <f>LoanModule!F54</f>
        <v>100981.88388355754</v>
      </c>
      <c r="K28" s="12">
        <f>LoanModule!F55</f>
        <v>94558.358441836477</v>
      </c>
      <c r="L28" s="12">
        <f>LoanModule!F56</f>
        <v>88092.009497170598</v>
      </c>
      <c r="M28" s="12">
        <f>LoanModule!F57</f>
        <v>81582.551559540283</v>
      </c>
    </row>
    <row r="29" spans="1:13" x14ac:dyDescent="0.25">
      <c r="A29" s="4" t="s">
        <v>96</v>
      </c>
      <c r="B29" s="14">
        <f t="shared" ref="B29:M29" si="4">SUM(B28:B28)</f>
        <v>150862.08194163008</v>
      </c>
      <c r="C29" s="14">
        <f t="shared" si="4"/>
        <v>144771.0911536295</v>
      </c>
      <c r="D29" s="14">
        <f t="shared" si="4"/>
        <v>138639.49376037557</v>
      </c>
      <c r="E29" s="14">
        <f t="shared" si="4"/>
        <v>132467.01905116663</v>
      </c>
      <c r="F29" s="14">
        <f t="shared" si="4"/>
        <v>126253.39451056295</v>
      </c>
      <c r="G29" s="14">
        <f t="shared" si="4"/>
        <v>119998.34580635525</v>
      </c>
      <c r="H29" s="14">
        <f t="shared" si="4"/>
        <v>113701.59677745284</v>
      </c>
      <c r="I29" s="14">
        <f t="shared" si="4"/>
        <v>107362.86942169107</v>
      </c>
      <c r="J29" s="14">
        <f t="shared" si="4"/>
        <v>100981.88388355754</v>
      </c>
      <c r="K29" s="14">
        <f t="shared" si="4"/>
        <v>94558.358441836477</v>
      </c>
      <c r="L29" s="14">
        <f t="shared" si="4"/>
        <v>88092.009497170598</v>
      </c>
      <c r="M29" s="14">
        <f t="shared" si="4"/>
        <v>81582.551559540283</v>
      </c>
    </row>
    <row r="31" spans="1:13" x14ac:dyDescent="0.25">
      <c r="A31" s="4" t="s">
        <v>97</v>
      </c>
      <c r="B31" s="9">
        <f t="shared" ref="B31:M31" si="5">B25+B29</f>
        <v>163982.87009520325</v>
      </c>
      <c r="C31" s="9">
        <f t="shared" si="5"/>
        <v>157905.70645329665</v>
      </c>
      <c r="D31" s="9">
        <f t="shared" si="5"/>
        <v>151788.17467981786</v>
      </c>
      <c r="E31" s="9">
        <f t="shared" si="5"/>
        <v>145630.00400057941</v>
      </c>
      <c r="F31" s="9">
        <f t="shared" si="5"/>
        <v>139430.92185671403</v>
      </c>
      <c r="G31" s="9">
        <f t="shared" si="5"/>
        <v>133190.65389262594</v>
      </c>
      <c r="H31" s="9">
        <f t="shared" si="5"/>
        <v>126908.92394386389</v>
      </c>
      <c r="I31" s="9">
        <f t="shared" si="5"/>
        <v>120585.45402491531</v>
      </c>
      <c r="J31" s="9">
        <f t="shared" si="5"/>
        <v>114219.96431692131</v>
      </c>
      <c r="K31" s="9">
        <f t="shared" si="5"/>
        <v>107812.1731553117</v>
      </c>
      <c r="L31" s="9">
        <f t="shared" si="5"/>
        <v>101361.79701735963</v>
      </c>
      <c r="M31" s="9">
        <f t="shared" si="5"/>
        <v>94868.550509655295</v>
      </c>
    </row>
    <row r="33" spans="1:13" x14ac:dyDescent="0.25">
      <c r="A33" t="s">
        <v>98</v>
      </c>
    </row>
    <row r="34" spans="1:13" x14ac:dyDescent="0.25">
      <c r="A34" t="s">
        <v>99</v>
      </c>
      <c r="B34" s="12">
        <f>BalanceSheet_Year3!M34</f>
        <v>152000</v>
      </c>
      <c r="C34" s="12">
        <f t="shared" ref="C34:M34" si="6">B34</f>
        <v>152000</v>
      </c>
      <c r="D34" s="12">
        <f t="shared" si="6"/>
        <v>152000</v>
      </c>
      <c r="E34" s="12">
        <f t="shared" si="6"/>
        <v>152000</v>
      </c>
      <c r="F34" s="12">
        <f t="shared" si="6"/>
        <v>152000</v>
      </c>
      <c r="G34" s="12">
        <f t="shared" si="6"/>
        <v>152000</v>
      </c>
      <c r="H34" s="12">
        <f t="shared" si="6"/>
        <v>152000</v>
      </c>
      <c r="I34" s="12">
        <f t="shared" si="6"/>
        <v>152000</v>
      </c>
      <c r="J34" s="12">
        <f t="shared" si="6"/>
        <v>152000</v>
      </c>
      <c r="K34" s="12">
        <f t="shared" si="6"/>
        <v>152000</v>
      </c>
      <c r="L34" s="12">
        <f t="shared" si="6"/>
        <v>152000</v>
      </c>
      <c r="M34" s="12">
        <f t="shared" si="6"/>
        <v>152000</v>
      </c>
    </row>
    <row r="35" spans="1:13" x14ac:dyDescent="0.25">
      <c r="A35" t="s">
        <v>100</v>
      </c>
      <c r="B35" s="12">
        <f>0+BalanceSheet_Year3!M35</f>
        <v>0</v>
      </c>
      <c r="C35" s="12">
        <f t="shared" ref="C35:M35" si="7">0+B35</f>
        <v>0</v>
      </c>
      <c r="D35" s="12">
        <f t="shared" si="7"/>
        <v>0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</row>
    <row r="36" spans="1:13" x14ac:dyDescent="0.25">
      <c r="A36" t="s">
        <v>16</v>
      </c>
      <c r="B36" s="12">
        <f>BalanceSheet_Year3!M36+DATA!AL40</f>
        <v>0</v>
      </c>
      <c r="C36" s="12">
        <f>B36+DATA!AM40</f>
        <v>0</v>
      </c>
      <c r="D36" s="12">
        <f>C36+DATA!AN40</f>
        <v>0</v>
      </c>
      <c r="E36" s="12">
        <f>D36+DATA!AO40</f>
        <v>0</v>
      </c>
      <c r="F36" s="12">
        <f>E36+DATA!AP40</f>
        <v>0</v>
      </c>
      <c r="G36" s="12">
        <f>F36+DATA!AQ40</f>
        <v>0</v>
      </c>
      <c r="H36" s="12">
        <f>G36+DATA!AR40</f>
        <v>0</v>
      </c>
      <c r="I36" s="12">
        <f>H36+DATA!AS40</f>
        <v>0</v>
      </c>
      <c r="J36" s="12">
        <f>I36+DATA!AT40</f>
        <v>0</v>
      </c>
      <c r="K36" s="12">
        <f>J36+DATA!AU40</f>
        <v>0</v>
      </c>
      <c r="L36" s="12">
        <f>K36+DATA!AV40</f>
        <v>0</v>
      </c>
      <c r="M36" s="12">
        <f>L36+DATA!AW40</f>
        <v>0</v>
      </c>
    </row>
    <row r="37" spans="1:13" x14ac:dyDescent="0.25">
      <c r="A37" t="s">
        <v>101</v>
      </c>
      <c r="B37" s="12">
        <f>(BalanceSheet_Year3!M37+IncomeStatement_Year4!B37)-B36</f>
        <v>250885.28054498738</v>
      </c>
      <c r="C37" s="12">
        <f>(B37+IncomeStatement_Year4!C37)-C36</f>
        <v>262869.87340527377</v>
      </c>
      <c r="D37" s="12">
        <f>(C37+IncomeStatement_Year4!D37)-D36</f>
        <v>274954.84974981559</v>
      </c>
      <c r="E37" s="12">
        <f>(D37+IncomeStatement_Year4!E37)-E36</f>
        <v>287140.17937306908</v>
      </c>
      <c r="F37" s="12">
        <f>(E37+IncomeStatement_Year4!F37)-F36</f>
        <v>299425.83431306784</v>
      </c>
      <c r="G37" s="12">
        <f>(F37+IncomeStatement_Year4!G37)-G36</f>
        <v>311811.78882407642</v>
      </c>
      <c r="H37" s="12">
        <f>(G37+IncomeStatement_Year4!H37)-H36</f>
        <v>324298.01934935618</v>
      </c>
      <c r="I37" s="12">
        <f>(H37+IncomeStatement_Year4!I37)-I36</f>
        <v>336884.50449403963</v>
      </c>
      <c r="J37" s="12">
        <f>(I37+IncomeStatement_Year4!J37)-J36</f>
        <v>349571.22499811009</v>
      </c>
      <c r="K37" s="12">
        <f>(J37+IncomeStatement_Year4!K37)-K36</f>
        <v>362358.16370948288</v>
      </c>
      <c r="L37" s="12">
        <f>(K37+IncomeStatement_Year4!L37)-L36</f>
        <v>375245.30555718526</v>
      </c>
      <c r="M37" s="12">
        <f>(L37+IncomeStatement_Year4!M37)-M36</f>
        <v>388232.63752463146</v>
      </c>
    </row>
    <row r="38" spans="1:13" x14ac:dyDescent="0.25">
      <c r="A38" s="4" t="s">
        <v>102</v>
      </c>
      <c r="B38" s="9">
        <f>SUM(B34:B37)-B36+SUM(BalanceSheet_Year1!C36:N36)+SUM(BalanceSheet_Year2!B36:M36)</f>
        <v>402885.28054498741</v>
      </c>
      <c r="C38" s="9">
        <f>SUM(C34:C37)-C36+SUM(BalanceSheet_Year1!C36:N36)+SUM(BalanceSheet_Year2!B36:M36)+SUM(BalanceSheet_Year4!B36:B36)</f>
        <v>414869.87340527377</v>
      </c>
      <c r="D38" s="9">
        <f>SUM(D34:D37)-D36+SUM(BalanceSheet_Year1!C36:N36)+SUM(BalanceSheet_Year2!B36:M36)+SUM(BalanceSheet_Year4!B36:C36)</f>
        <v>426954.84974981559</v>
      </c>
      <c r="E38" s="9">
        <f>SUM(E34:E37)-E36+SUM(BalanceSheet_Year1!C36:N36)+SUM(BalanceSheet_Year2!B36:M36)+SUM(BalanceSheet_Year4!B36:D36)</f>
        <v>439140.17937306908</v>
      </c>
      <c r="F38" s="9">
        <f>SUM(F34:F37)-F36+SUM(BalanceSheet_Year1!C36:N36)+SUM(BalanceSheet_Year2!B36:M36)+SUM(BalanceSheet_Year4!B36:E36)</f>
        <v>451425.83431306784</v>
      </c>
      <c r="G38" s="9">
        <f>SUM(G34:G37)-G36+SUM(BalanceSheet_Year1!C36:N36)+SUM(BalanceSheet_Year2!B36:M36)+SUM(BalanceSheet_Year4!B36:F36)</f>
        <v>463811.78882407642</v>
      </c>
      <c r="H38" s="9">
        <f>SUM(H34:H37)-H36+SUM(BalanceSheet_Year1!C36:N36)+SUM(BalanceSheet_Year2!B36:M36)+SUM(BalanceSheet_Year4!B36:G36)</f>
        <v>476298.01934935618</v>
      </c>
      <c r="I38" s="9">
        <f>SUM(I34:I37)-I36+SUM(BalanceSheet_Year1!C36:N36)+SUM(BalanceSheet_Year2!B36:M36)+SUM(BalanceSheet_Year4!B36:H36)</f>
        <v>488884.50449403963</v>
      </c>
      <c r="J38" s="9">
        <f>SUM(J34:J37)-J36+SUM(BalanceSheet_Year1!C36:N36)+SUM(BalanceSheet_Year2!B36:M36)+SUM(BalanceSheet_Year4!B36:I36)</f>
        <v>501571.22499811009</v>
      </c>
      <c r="K38" s="9">
        <f>SUM(K34:K37)-K36+SUM(BalanceSheet_Year1!C36:N36)+SUM(BalanceSheet_Year2!B36:M36)+SUM(BalanceSheet_Year4!B36:J36)</f>
        <v>514358.16370948288</v>
      </c>
      <c r="L38" s="9">
        <f>SUM(L34:L37)-L36+SUM(BalanceSheet_Year1!C36:N36)+SUM(BalanceSheet_Year2!B36:M36)+SUM(BalanceSheet_Year4!B36:K36)</f>
        <v>527245.30555718532</v>
      </c>
      <c r="M38" s="9">
        <f>SUM(M34:M37)-M36+SUM(BalanceSheet_Year1!C36:N36)+SUM(BalanceSheet_Year2!B36:M36)+SUM(BalanceSheet_Year4!B36:L36)</f>
        <v>540232.63752463146</v>
      </c>
    </row>
    <row r="40" spans="1:13" x14ac:dyDescent="0.25">
      <c r="A40" s="4" t="s">
        <v>103</v>
      </c>
      <c r="B40" s="9">
        <f t="shared" ref="B40:M40" si="8">B38+B31</f>
        <v>566868.1506401907</v>
      </c>
      <c r="C40" s="9">
        <f t="shared" si="8"/>
        <v>572775.57985857036</v>
      </c>
      <c r="D40" s="9">
        <f t="shared" si="8"/>
        <v>578743.02442963351</v>
      </c>
      <c r="E40" s="9">
        <f t="shared" si="8"/>
        <v>584770.18337364844</v>
      </c>
      <c r="F40" s="9">
        <f t="shared" si="8"/>
        <v>590856.7561697819</v>
      </c>
      <c r="G40" s="9">
        <f t="shared" si="8"/>
        <v>597002.44271670235</v>
      </c>
      <c r="H40" s="9">
        <f t="shared" si="8"/>
        <v>603206.94329322013</v>
      </c>
      <c r="I40" s="9">
        <f t="shared" si="8"/>
        <v>609469.95851895493</v>
      </c>
      <c r="J40" s="9">
        <f t="shared" si="8"/>
        <v>615791.1893150314</v>
      </c>
      <c r="K40" s="9">
        <f t="shared" si="8"/>
        <v>622170.3368647946</v>
      </c>
      <c r="L40" s="9">
        <f t="shared" si="8"/>
        <v>628607.10257454496</v>
      </c>
      <c r="M40" s="9">
        <f t="shared" si="8"/>
        <v>635101.18803428672</v>
      </c>
    </row>
    <row r="45" spans="1:13" x14ac:dyDescent="0.25">
      <c r="A45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7"/>
  <sheetViews>
    <sheetView workbookViewId="0">
      <pane xSplit="1" topLeftCell="B1" activePane="topRight" state="frozen"/>
      <selection activeCell="A37" sqref="A37"/>
      <selection pane="topRight" activeCell="B34" sqref="B34"/>
    </sheetView>
  </sheetViews>
  <sheetFormatPr defaultColWidth="8.85546875" defaultRowHeight="15" x14ac:dyDescent="0.25"/>
  <cols>
    <col min="1" max="1" width="39.140625" bestFit="1" customWidth="1"/>
    <col min="2" max="2" width="23.42578125" bestFit="1" customWidth="1"/>
    <col min="3" max="3" width="29.42578125" bestFit="1" customWidth="1"/>
    <col min="4" max="4" width="15.28515625" bestFit="1" customWidth="1"/>
    <col min="5" max="5" width="18.7109375" bestFit="1" customWidth="1"/>
    <col min="6" max="10" width="11.7109375" bestFit="1" customWidth="1"/>
    <col min="11" max="37" width="12.85546875" bestFit="1" customWidth="1"/>
    <col min="38" max="38" width="11" bestFit="1" customWidth="1"/>
    <col min="39" max="49" width="10.85546875" bestFit="1" customWidth="1"/>
    <col min="50" max="61" width="11.85546875" bestFit="1" customWidth="1"/>
  </cols>
  <sheetData>
    <row r="1" spans="1:2" x14ac:dyDescent="0.25">
      <c r="A1" t="s">
        <v>0</v>
      </c>
      <c r="B1" s="58" t="s">
        <v>169</v>
      </c>
    </row>
    <row r="3" spans="1:2" ht="30" hidden="1" x14ac:dyDescent="0.25">
      <c r="A3" s="1" t="s">
        <v>1</v>
      </c>
      <c r="B3" s="18">
        <v>0</v>
      </c>
    </row>
    <row r="4" spans="1:2" ht="30" hidden="1" x14ac:dyDescent="0.25">
      <c r="A4" s="1" t="s">
        <v>2</v>
      </c>
      <c r="B4" s="19">
        <v>0</v>
      </c>
    </row>
    <row r="6" spans="1:2" x14ac:dyDescent="0.25">
      <c r="A6" s="4" t="s">
        <v>3</v>
      </c>
    </row>
    <row r="7" spans="1:2" x14ac:dyDescent="0.25">
      <c r="A7" s="4" t="s">
        <v>4</v>
      </c>
    </row>
    <row r="8" spans="1:2" x14ac:dyDescent="0.25">
      <c r="A8" t="s">
        <v>5</v>
      </c>
      <c r="B8" s="19">
        <v>50000</v>
      </c>
    </row>
    <row r="11" spans="1:2" x14ac:dyDescent="0.25">
      <c r="A11" t="s">
        <v>7</v>
      </c>
      <c r="B11" s="3">
        <f>IF(LoanModule!C5&lt;=1,LoanModule!C2,0)</f>
        <v>350000</v>
      </c>
    </row>
    <row r="12" spans="1:2" x14ac:dyDescent="0.25">
      <c r="A12" t="s">
        <v>6</v>
      </c>
      <c r="B12" s="3">
        <v>0</v>
      </c>
    </row>
    <row r="13" spans="1:2" x14ac:dyDescent="0.25">
      <c r="A13" s="4" t="s">
        <v>8</v>
      </c>
      <c r="B13" s="3">
        <f>B8+B11+B12</f>
        <v>400000</v>
      </c>
    </row>
    <row r="15" spans="1:2" x14ac:dyDescent="0.25">
      <c r="A15" t="s">
        <v>9</v>
      </c>
    </row>
    <row r="18" spans="1:61" x14ac:dyDescent="0.25">
      <c r="A18" t="s">
        <v>10</v>
      </c>
      <c r="B18" t="s">
        <v>11</v>
      </c>
      <c r="C18" t="s">
        <v>12</v>
      </c>
      <c r="D18" t="s">
        <v>13</v>
      </c>
      <c r="E18" t="s">
        <v>14</v>
      </c>
    </row>
    <row r="19" spans="1:61" x14ac:dyDescent="0.25">
      <c r="A19" s="58" t="s">
        <v>142</v>
      </c>
      <c r="B19" s="19">
        <v>300000</v>
      </c>
      <c r="C19" s="20">
        <v>10</v>
      </c>
      <c r="D19" s="19">
        <f>B19*0.3</f>
        <v>90000</v>
      </c>
      <c r="E19" s="20">
        <v>1</v>
      </c>
    </row>
    <row r="21" spans="1:61" x14ac:dyDescent="0.25">
      <c r="A21" s="30" t="s">
        <v>124</v>
      </c>
      <c r="B21" t="s">
        <v>11</v>
      </c>
      <c r="C21" t="s">
        <v>12</v>
      </c>
      <c r="D21" t="s">
        <v>13</v>
      </c>
      <c r="E21" t="s">
        <v>14</v>
      </c>
    </row>
    <row r="22" spans="1:61" x14ac:dyDescent="0.25">
      <c r="A22" s="58" t="s">
        <v>143</v>
      </c>
      <c r="B22" s="19">
        <v>150000</v>
      </c>
      <c r="C22" s="20">
        <v>10</v>
      </c>
      <c r="D22" s="19">
        <f>B22*0.3</f>
        <v>45000</v>
      </c>
      <c r="E22" s="20">
        <v>1</v>
      </c>
    </row>
    <row r="25" spans="1:61" x14ac:dyDescent="0.25">
      <c r="A25" t="s">
        <v>159</v>
      </c>
    </row>
    <row r="26" spans="1:61" x14ac:dyDescent="0.25">
      <c r="A26" s="30" t="s">
        <v>104</v>
      </c>
      <c r="B26" s="20">
        <v>0</v>
      </c>
    </row>
    <row r="28" spans="1:61" hidden="1" x14ac:dyDescent="0.25">
      <c r="A28" t="s">
        <v>15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  <c r="N28">
        <v>13</v>
      </c>
      <c r="O28">
        <v>14</v>
      </c>
      <c r="P28">
        <v>15</v>
      </c>
      <c r="Q28">
        <v>16</v>
      </c>
      <c r="R28">
        <v>17</v>
      </c>
      <c r="S28">
        <v>18</v>
      </c>
      <c r="T28">
        <v>19</v>
      </c>
      <c r="U28">
        <v>20</v>
      </c>
      <c r="V28">
        <v>21</v>
      </c>
      <c r="W28">
        <v>22</v>
      </c>
      <c r="X28">
        <v>23</v>
      </c>
      <c r="Y28">
        <v>24</v>
      </c>
      <c r="Z28">
        <v>25</v>
      </c>
      <c r="AA28">
        <v>26</v>
      </c>
      <c r="AB28">
        <v>27</v>
      </c>
      <c r="AC28">
        <v>28</v>
      </c>
      <c r="AD28">
        <v>29</v>
      </c>
      <c r="AE28">
        <v>30</v>
      </c>
      <c r="AF28">
        <v>31</v>
      </c>
      <c r="AG28">
        <v>32</v>
      </c>
      <c r="AH28">
        <v>33</v>
      </c>
      <c r="AI28">
        <v>34</v>
      </c>
      <c r="AJ28">
        <v>35</v>
      </c>
      <c r="AK28">
        <v>36</v>
      </c>
      <c r="AL28">
        <v>37</v>
      </c>
      <c r="AM28">
        <v>38</v>
      </c>
      <c r="AN28">
        <v>39</v>
      </c>
      <c r="AO28">
        <v>40</v>
      </c>
      <c r="AP28">
        <v>41</v>
      </c>
      <c r="AQ28">
        <v>42</v>
      </c>
      <c r="AR28">
        <v>43</v>
      </c>
      <c r="AS28">
        <v>44</v>
      </c>
      <c r="AT28">
        <v>45</v>
      </c>
      <c r="AU28">
        <v>46</v>
      </c>
      <c r="AV28">
        <v>47</v>
      </c>
      <c r="AW28">
        <v>48</v>
      </c>
      <c r="AX28">
        <v>49</v>
      </c>
      <c r="AY28">
        <v>50</v>
      </c>
      <c r="AZ28">
        <v>51</v>
      </c>
      <c r="BA28">
        <v>52</v>
      </c>
      <c r="BB28">
        <v>53</v>
      </c>
      <c r="BC28">
        <v>54</v>
      </c>
      <c r="BD28">
        <v>55</v>
      </c>
      <c r="BE28">
        <v>56</v>
      </c>
      <c r="BF28">
        <v>57</v>
      </c>
      <c r="BG28">
        <v>58</v>
      </c>
      <c r="BH28">
        <v>59</v>
      </c>
      <c r="BI28">
        <v>60</v>
      </c>
    </row>
    <row r="29" spans="1:61" hidden="1" x14ac:dyDescent="0.25">
      <c r="A29" s="30" t="s">
        <v>118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</row>
    <row r="30" spans="1:61" hidden="1" x14ac:dyDescent="0.25"/>
    <row r="31" spans="1:61" hidden="1" x14ac:dyDescent="0.25">
      <c r="A31" s="30" t="s">
        <v>119</v>
      </c>
      <c r="B31" s="21">
        <v>0</v>
      </c>
      <c r="C31" s="5">
        <f t="shared" ref="C31:AK31" si="0">B31*(1+B32)</f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0</v>
      </c>
      <c r="M31" s="5">
        <f t="shared" si="0"/>
        <v>0</v>
      </c>
      <c r="N31" s="5">
        <f t="shared" si="0"/>
        <v>0</v>
      </c>
      <c r="O31" s="5">
        <f t="shared" si="0"/>
        <v>0</v>
      </c>
      <c r="P31" s="5">
        <f t="shared" si="0"/>
        <v>0</v>
      </c>
      <c r="Q31" s="5">
        <f t="shared" si="0"/>
        <v>0</v>
      </c>
      <c r="R31" s="5">
        <f t="shared" si="0"/>
        <v>0</v>
      </c>
      <c r="S31" s="5">
        <f t="shared" si="0"/>
        <v>0</v>
      </c>
      <c r="T31" s="5">
        <f t="shared" si="0"/>
        <v>0</v>
      </c>
      <c r="U31" s="5">
        <f t="shared" si="0"/>
        <v>0</v>
      </c>
      <c r="V31" s="5">
        <f t="shared" si="0"/>
        <v>0</v>
      </c>
      <c r="W31" s="5">
        <f t="shared" si="0"/>
        <v>0</v>
      </c>
      <c r="X31" s="5">
        <f t="shared" si="0"/>
        <v>0</v>
      </c>
      <c r="Y31" s="5">
        <f t="shared" si="0"/>
        <v>0</v>
      </c>
      <c r="Z31" s="5">
        <f t="shared" si="0"/>
        <v>0</v>
      </c>
      <c r="AA31" s="5">
        <f t="shared" si="0"/>
        <v>0</v>
      </c>
      <c r="AB31" s="5">
        <f t="shared" si="0"/>
        <v>0</v>
      </c>
      <c r="AC31" s="5">
        <f t="shared" si="0"/>
        <v>0</v>
      </c>
      <c r="AD31" s="5">
        <f t="shared" si="0"/>
        <v>0</v>
      </c>
      <c r="AE31" s="5">
        <f t="shared" si="0"/>
        <v>0</v>
      </c>
      <c r="AF31" s="5">
        <f t="shared" si="0"/>
        <v>0</v>
      </c>
      <c r="AG31" s="5">
        <f t="shared" si="0"/>
        <v>0</v>
      </c>
      <c r="AH31" s="5">
        <f t="shared" si="0"/>
        <v>0</v>
      </c>
      <c r="AI31" s="5">
        <f t="shared" si="0"/>
        <v>0</v>
      </c>
      <c r="AJ31" s="5">
        <f t="shared" si="0"/>
        <v>0</v>
      </c>
      <c r="AK31" s="5">
        <f t="shared" si="0"/>
        <v>0</v>
      </c>
      <c r="AL31" s="5">
        <f t="shared" ref="AL31" si="1">AK31*(1+AK32)</f>
        <v>0</v>
      </c>
      <c r="AM31" s="5">
        <f t="shared" ref="AM31" si="2">AL31*(1+AL32)</f>
        <v>0</v>
      </c>
      <c r="AN31" s="5">
        <f t="shared" ref="AN31" si="3">AM31*(1+AM32)</f>
        <v>0</v>
      </c>
      <c r="AO31" s="5">
        <f t="shared" ref="AO31" si="4">AN31*(1+AN32)</f>
        <v>0</v>
      </c>
      <c r="AP31" s="5">
        <f t="shared" ref="AP31" si="5">AO31*(1+AO32)</f>
        <v>0</v>
      </c>
      <c r="AQ31" s="5">
        <f t="shared" ref="AQ31" si="6">AP31*(1+AP32)</f>
        <v>0</v>
      </c>
      <c r="AR31" s="5">
        <f t="shared" ref="AR31" si="7">AQ31*(1+AQ32)</f>
        <v>0</v>
      </c>
      <c r="AS31" s="5">
        <f t="shared" ref="AS31" si="8">AR31*(1+AR32)</f>
        <v>0</v>
      </c>
      <c r="AT31" s="5">
        <f t="shared" ref="AT31" si="9">AS31*(1+AS32)</f>
        <v>0</v>
      </c>
      <c r="AU31" s="5">
        <f t="shared" ref="AU31" si="10">AT31*(1+AT32)</f>
        <v>0</v>
      </c>
      <c r="AV31" s="5">
        <f t="shared" ref="AV31" si="11">AU31*(1+AU32)</f>
        <v>0</v>
      </c>
      <c r="AW31" s="5">
        <f t="shared" ref="AW31" si="12">AV31*(1+AV32)</f>
        <v>0</v>
      </c>
      <c r="AX31" s="5">
        <f t="shared" ref="AX31" si="13">AW31*(1+AW32)</f>
        <v>0</v>
      </c>
      <c r="AY31" s="5">
        <f t="shared" ref="AY31" si="14">AX31*(1+AX32)</f>
        <v>0</v>
      </c>
      <c r="AZ31" s="5">
        <f t="shared" ref="AZ31" si="15">AY31*(1+AY32)</f>
        <v>0</v>
      </c>
      <c r="BA31" s="5">
        <f t="shared" ref="BA31" si="16">AZ31*(1+AZ32)</f>
        <v>0</v>
      </c>
      <c r="BB31" s="5">
        <f t="shared" ref="BB31" si="17">BA31*(1+BA32)</f>
        <v>0</v>
      </c>
      <c r="BC31" s="5">
        <f t="shared" ref="BC31" si="18">BB31*(1+BB32)</f>
        <v>0</v>
      </c>
      <c r="BD31" s="5">
        <f t="shared" ref="BD31" si="19">BC31*(1+BC32)</f>
        <v>0</v>
      </c>
      <c r="BE31" s="5">
        <f t="shared" ref="BE31" si="20">BD31*(1+BD32)</f>
        <v>0</v>
      </c>
      <c r="BF31" s="5">
        <f t="shared" ref="BF31" si="21">BE31*(1+BE32)</f>
        <v>0</v>
      </c>
      <c r="BG31" s="5">
        <f t="shared" ref="BG31" si="22">BF31*(1+BF32)</f>
        <v>0</v>
      </c>
      <c r="BH31" s="5">
        <f t="shared" ref="BH31" si="23">BG31*(1+BG32)</f>
        <v>0</v>
      </c>
      <c r="BI31" s="5">
        <f t="shared" ref="BI31" si="24">BH31*(1+BH32)</f>
        <v>0</v>
      </c>
    </row>
    <row r="32" spans="1:61" hidden="1" x14ac:dyDescent="0.25"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</row>
    <row r="34" spans="1:89" s="46" customFormat="1" x14ac:dyDescent="0.25">
      <c r="A34" s="62" t="s">
        <v>127</v>
      </c>
      <c r="B34" s="55">
        <f>RevenueModule!B26</f>
        <v>7680</v>
      </c>
      <c r="C34" s="55">
        <f>RevenueModule!C26</f>
        <v>7703.0707507507495</v>
      </c>
      <c r="D34" s="55">
        <f>RevenueModule!D26</f>
        <v>7726.2108061291301</v>
      </c>
      <c r="E34" s="55">
        <f>RevenueModule!E26</f>
        <v>7749.4203743265189</v>
      </c>
      <c r="F34" s="55">
        <f>RevenueModule!F26</f>
        <v>7772.6996641597034</v>
      </c>
      <c r="G34" s="55">
        <f>RevenueModule!G26</f>
        <v>7796.0488850727588</v>
      </c>
      <c r="H34" s="55">
        <f>RevenueModule!H26</f>
        <v>7819.4682471389269</v>
      </c>
      <c r="I34" s="55">
        <f>RevenueModule!I26</f>
        <v>7842.9579610625115</v>
      </c>
      <c r="J34" s="55">
        <f>RevenueModule!J26</f>
        <v>7866.5182381807754</v>
      </c>
      <c r="K34" s="55">
        <f>RevenueModule!K26</f>
        <v>7890.149290465838</v>
      </c>
      <c r="L34" s="55">
        <f>RevenueModule!L26</f>
        <v>7913.8513305265869</v>
      </c>
      <c r="M34" s="55">
        <f>RevenueModule!M26</f>
        <v>7937.6245716105786</v>
      </c>
      <c r="N34" s="55">
        <f>RevenueModule!N26</f>
        <v>7961.4692276059759</v>
      </c>
      <c r="O34" s="55">
        <f>RevenueModule!O26</f>
        <v>7985.3855130434567</v>
      </c>
      <c r="P34" s="55">
        <f>RevenueModule!P26</f>
        <v>8009.3736430981544</v>
      </c>
      <c r="Q34" s="55">
        <f>RevenueModule!Q26</f>
        <v>8033.4338335915827</v>
      </c>
      <c r="R34" s="55">
        <f>RevenueModule!R26</f>
        <v>8057.5663009935915</v>
      </c>
      <c r="S34" s="55">
        <f>RevenueModule!S26</f>
        <v>8081.7712624243004</v>
      </c>
      <c r="T34" s="55">
        <f>RevenueModule!T26</f>
        <v>8106.0489356560665</v>
      </c>
      <c r="U34" s="55">
        <f>RevenueModule!U26</f>
        <v>8130.3995391154276</v>
      </c>
      <c r="V34" s="55">
        <f>RevenueModule!V26</f>
        <v>8154.8232918850808</v>
      </c>
      <c r="W34" s="55">
        <f>RevenueModule!W26</f>
        <v>8179.3204137058474</v>
      </c>
      <c r="X34" s="55">
        <f>RevenueModule!X26</f>
        <v>8203.8911249786506</v>
      </c>
      <c r="Y34" s="55">
        <f>RevenueModule!Y26</f>
        <v>8228.5356467664969</v>
      </c>
      <c r="Z34" s="55">
        <f>RevenueModule!Z26</f>
        <v>8253.2542007964712</v>
      </c>
      <c r="AA34" s="55">
        <f>RevenueModule!AA26</f>
        <v>8278.0470094617267</v>
      </c>
      <c r="AB34" s="55">
        <f>RevenueModule!AB26</f>
        <v>8302.9142958234806</v>
      </c>
      <c r="AC34" s="55">
        <f>RevenueModule!AC26</f>
        <v>8327.856283613035</v>
      </c>
      <c r="AD34" s="55">
        <f>RevenueModule!AD26</f>
        <v>8352.8731972337755</v>
      </c>
      <c r="AE34" s="55">
        <f>RevenueModule!AE26</f>
        <v>8377.9652617632019</v>
      </c>
      <c r="AF34" s="55">
        <f>RevenueModule!AF26</f>
        <v>8403.1327029549429</v>
      </c>
      <c r="AG34" s="55">
        <f>RevenueModule!AG26</f>
        <v>8428.3757472407942</v>
      </c>
      <c r="AH34" s="55">
        <f>RevenueModule!AH26</f>
        <v>8453.694621732755</v>
      </c>
      <c r="AI34" s="55">
        <f>RevenueModule!AI26</f>
        <v>8479.0895542250673</v>
      </c>
      <c r="AJ34" s="55">
        <f>RevenueModule!AJ26</f>
        <v>8504.5607731962646</v>
      </c>
      <c r="AK34" s="55">
        <f>RevenueModule!AK26</f>
        <v>8530.108507811241</v>
      </c>
      <c r="AL34" s="55">
        <f>RevenueModule!AL26</f>
        <v>8555.732987923293</v>
      </c>
      <c r="AM34" s="55">
        <f>RevenueModule!AM26</f>
        <v>8581.4344440762015</v>
      </c>
      <c r="AN34" s="55">
        <f>RevenueModule!AN26</f>
        <v>8607.2131075063025</v>
      </c>
      <c r="AO34" s="55">
        <f>RevenueModule!AO26</f>
        <v>8633.0692101445657</v>
      </c>
      <c r="AP34" s="55">
        <f>RevenueModule!AP26</f>
        <v>8659.0029846186808</v>
      </c>
      <c r="AQ34" s="55">
        <f>RevenueModule!AQ26</f>
        <v>8685.0146642551554</v>
      </c>
      <c r="AR34" s="55">
        <f>RevenueModule!AR26</f>
        <v>8711.1044830814099</v>
      </c>
      <c r="AS34" s="55">
        <f>RevenueModule!AS26</f>
        <v>8737.2726758278804</v>
      </c>
      <c r="AT34" s="55">
        <f>RevenueModule!AT26</f>
        <v>8763.5194779301401</v>
      </c>
      <c r="AU34" s="55">
        <f>RevenueModule!AU26</f>
        <v>8789.8451255310047</v>
      </c>
      <c r="AV34" s="55">
        <f>RevenueModule!AV26</f>
        <v>8816.2498554826743</v>
      </c>
      <c r="AW34" s="55">
        <f>RevenueModule!AW26</f>
        <v>8842.7339053488413</v>
      </c>
      <c r="AX34" s="55">
        <f>RevenueModule!AX26</f>
        <v>8869.2975134068492</v>
      </c>
      <c r="AY34" s="55">
        <f>RevenueModule!AY26</f>
        <v>8895.9409186498251</v>
      </c>
      <c r="AZ34" s="55">
        <f>RevenueModule!AZ26</f>
        <v>8922.6643607888291</v>
      </c>
      <c r="BA34" s="55">
        <f>RevenueModule!BA26</f>
        <v>8949.4680802550229</v>
      </c>
      <c r="BB34" s="55">
        <f>RevenueModule!BB26</f>
        <v>8976.3523182018125</v>
      </c>
      <c r="BC34" s="55">
        <f>RevenueModule!BC26</f>
        <v>9003.3173165070402</v>
      </c>
      <c r="BD34" s="55">
        <f>RevenueModule!BD26</f>
        <v>9030.3633177751435</v>
      </c>
      <c r="BE34" s="55">
        <f>RevenueModule!BE26</f>
        <v>9057.4905653393507</v>
      </c>
      <c r="BF34" s="55">
        <f>RevenueModule!BF26</f>
        <v>9084.6993032638566</v>
      </c>
      <c r="BG34" s="55">
        <f>RevenueModule!BG26</f>
        <v>9111.9897763460322</v>
      </c>
      <c r="BH34" s="55">
        <f>RevenueModule!BH26</f>
        <v>9139.3622301186169</v>
      </c>
      <c r="BI34" s="55">
        <f>RevenueModule!BI26</f>
        <v>9166.8169108519342</v>
      </c>
    </row>
    <row r="36" spans="1:89" s="46" customFormat="1" x14ac:dyDescent="0.25">
      <c r="A36" s="62" t="s">
        <v>136</v>
      </c>
      <c r="B36" s="55">
        <f>RevenueModule!B35</f>
        <v>5040</v>
      </c>
      <c r="C36" s="55">
        <f>RevenueModule!C35</f>
        <v>5045.0399999999991</v>
      </c>
      <c r="D36" s="55">
        <f>RevenueModule!D35</f>
        <v>5050.0850399999981</v>
      </c>
      <c r="E36" s="55">
        <f>RevenueModule!E35</f>
        <v>5055.1351250399975</v>
      </c>
      <c r="F36" s="55">
        <f>RevenueModule!F35</f>
        <v>5060.1902601650372</v>
      </c>
      <c r="G36" s="55">
        <f>RevenueModule!G35</f>
        <v>5065.250450425202</v>
      </c>
      <c r="H36" s="55">
        <f>RevenueModule!H35</f>
        <v>5070.3157008756261</v>
      </c>
      <c r="I36" s="55">
        <f>RevenueModule!I35</f>
        <v>5075.3860165765018</v>
      </c>
      <c r="J36" s="55">
        <f>RevenueModule!J35</f>
        <v>5080.4614025930769</v>
      </c>
      <c r="K36" s="55">
        <f>RevenueModule!K35</f>
        <v>5085.5418639956697</v>
      </c>
      <c r="L36" s="55">
        <f>RevenueModule!L35</f>
        <v>5090.6274058596646</v>
      </c>
      <c r="M36" s="55">
        <f>RevenueModule!M35</f>
        <v>5095.7180332655244</v>
      </c>
      <c r="N36" s="55">
        <f>RevenueModule!N35</f>
        <v>5222.2616977582838</v>
      </c>
      <c r="O36" s="55">
        <f>RevenueModule!O35</f>
        <v>5227.4839594560417</v>
      </c>
      <c r="P36" s="55">
        <f>RevenueModule!P35</f>
        <v>5232.7114434154973</v>
      </c>
      <c r="Q36" s="55">
        <f>RevenueModule!Q35</f>
        <v>5237.944154858912</v>
      </c>
      <c r="R36" s="55">
        <f>RevenueModule!R35</f>
        <v>5243.1820990137703</v>
      </c>
      <c r="S36" s="55">
        <f>RevenueModule!S35</f>
        <v>5248.4252811127826</v>
      </c>
      <c r="T36" s="55">
        <f>RevenueModule!T35</f>
        <v>5253.6737063938954</v>
      </c>
      <c r="U36" s="55">
        <f>RevenueModule!U35</f>
        <v>5258.9273801002882</v>
      </c>
      <c r="V36" s="55">
        <f>RevenueModule!V35</f>
        <v>5264.1863074803887</v>
      </c>
      <c r="W36" s="55">
        <f>RevenueModule!W35</f>
        <v>5269.4504937878683</v>
      </c>
      <c r="X36" s="55">
        <f>RevenueModule!X35</f>
        <v>5274.7199442816554</v>
      </c>
      <c r="Y36" s="55">
        <f>RevenueModule!Y35</f>
        <v>5279.9946642259365</v>
      </c>
      <c r="Z36" s="55">
        <f>RevenueModule!Z35</f>
        <v>5408.1880230503994</v>
      </c>
      <c r="AA36" s="55">
        <f>RevenueModule!AA35</f>
        <v>5413.596211073449</v>
      </c>
      <c r="AB36" s="55">
        <f>RevenueModule!AB35</f>
        <v>5419.0098072845221</v>
      </c>
      <c r="AC36" s="55">
        <f>RevenueModule!AC35</f>
        <v>5424.4288170918071</v>
      </c>
      <c r="AD36" s="55">
        <f>RevenueModule!AD35</f>
        <v>5429.8532459088974</v>
      </c>
      <c r="AE36" s="55">
        <f>RevenueModule!AE35</f>
        <v>5435.2830991548062</v>
      </c>
      <c r="AF36" s="55">
        <f>RevenueModule!AF35</f>
        <v>5440.71838225396</v>
      </c>
      <c r="AG36" s="55">
        <f>RevenueModule!AG35</f>
        <v>5446.1591006362132</v>
      </c>
      <c r="AH36" s="55">
        <f>RevenueModule!AH35</f>
        <v>5451.6052597368489</v>
      </c>
      <c r="AI36" s="55">
        <f>RevenueModule!AI35</f>
        <v>5457.0568649965853</v>
      </c>
      <c r="AJ36" s="55">
        <f>RevenueModule!AJ35</f>
        <v>5462.5139218615814</v>
      </c>
      <c r="AK36" s="55">
        <f>RevenueModule!AK35</f>
        <v>5467.976435783442</v>
      </c>
      <c r="AL36" s="55">
        <f>RevenueModule!AL35</f>
        <v>5597.8408761332976</v>
      </c>
      <c r="AM36" s="55">
        <f>RevenueModule!AM35</f>
        <v>5603.4387170094305</v>
      </c>
      <c r="AN36" s="55">
        <f>RevenueModule!AN35</f>
        <v>5609.042155726439</v>
      </c>
      <c r="AO36" s="55">
        <f>RevenueModule!AO35</f>
        <v>5614.6511978821654</v>
      </c>
      <c r="AP36" s="55">
        <f>RevenueModule!AP35</f>
        <v>5620.2658490800468</v>
      </c>
      <c r="AQ36" s="55">
        <f>RevenueModule!AQ35</f>
        <v>5625.8861149291261</v>
      </c>
      <c r="AR36" s="55">
        <f>RevenueModule!AR35</f>
        <v>5631.5120010440542</v>
      </c>
      <c r="AS36" s="55">
        <f>RevenueModule!AS35</f>
        <v>5637.1435130450973</v>
      </c>
      <c r="AT36" s="55">
        <f>RevenueModule!AT35</f>
        <v>5642.7806565581413</v>
      </c>
      <c r="AU36" s="55">
        <f>RevenueModule!AU35</f>
        <v>5648.4234372146993</v>
      </c>
      <c r="AV36" s="55">
        <f>RevenueModule!AV35</f>
        <v>5654.0718606519131</v>
      </c>
      <c r="AW36" s="55">
        <f>RevenueModule!AW35</f>
        <v>5659.7259325125642</v>
      </c>
      <c r="AX36" s="55">
        <f>RevenueModule!AX35</f>
        <v>5791.2831175216334</v>
      </c>
      <c r="AY36" s="55">
        <f>RevenueModule!AY35</f>
        <v>5797.0744006391551</v>
      </c>
      <c r="AZ36" s="55">
        <f>RevenueModule!AZ35</f>
        <v>5802.871475039793</v>
      </c>
      <c r="BA36" s="55">
        <f>RevenueModule!BA35</f>
        <v>5808.6743465148329</v>
      </c>
      <c r="BB36" s="55">
        <f>RevenueModule!BB35</f>
        <v>5814.4830208613466</v>
      </c>
      <c r="BC36" s="55">
        <f>RevenueModule!BC35</f>
        <v>5820.2975038822069</v>
      </c>
      <c r="BD36" s="55">
        <f>RevenueModule!BD35</f>
        <v>5826.117801386089</v>
      </c>
      <c r="BE36" s="55">
        <f>RevenueModule!BE35</f>
        <v>5831.9439191874744</v>
      </c>
      <c r="BF36" s="55">
        <f>RevenueModule!BF35</f>
        <v>5837.7758631066617</v>
      </c>
      <c r="BG36" s="55">
        <f>RevenueModule!BG35</f>
        <v>5843.6136389697676</v>
      </c>
      <c r="BH36" s="55">
        <f>RevenueModule!BH35</f>
        <v>5849.4572526087368</v>
      </c>
      <c r="BI36" s="55">
        <f>RevenueModule!BI35</f>
        <v>5855.3067098613456</v>
      </c>
    </row>
    <row r="39" spans="1:89" x14ac:dyDescent="0.25">
      <c r="B39">
        <v>1</v>
      </c>
      <c r="C39">
        <v>2</v>
      </c>
      <c r="D39">
        <v>3</v>
      </c>
      <c r="E39">
        <v>4</v>
      </c>
      <c r="F39">
        <v>5</v>
      </c>
      <c r="G39">
        <v>6</v>
      </c>
      <c r="H39">
        <v>7</v>
      </c>
      <c r="I39">
        <v>8</v>
      </c>
      <c r="J39">
        <v>9</v>
      </c>
      <c r="K39">
        <v>10</v>
      </c>
      <c r="L39">
        <v>11</v>
      </c>
      <c r="M39">
        <v>12</v>
      </c>
      <c r="N39">
        <v>13</v>
      </c>
      <c r="O39">
        <v>14</v>
      </c>
      <c r="P39">
        <v>15</v>
      </c>
      <c r="Q39">
        <v>16</v>
      </c>
      <c r="R39">
        <v>17</v>
      </c>
      <c r="S39">
        <v>18</v>
      </c>
      <c r="T39">
        <v>19</v>
      </c>
      <c r="U39">
        <v>20</v>
      </c>
      <c r="V39">
        <v>21</v>
      </c>
      <c r="W39">
        <v>22</v>
      </c>
      <c r="X39">
        <v>23</v>
      </c>
      <c r="Y39">
        <v>24</v>
      </c>
      <c r="Z39">
        <v>25</v>
      </c>
      <c r="AA39">
        <v>26</v>
      </c>
      <c r="AB39">
        <v>27</v>
      </c>
      <c r="AC39">
        <v>28</v>
      </c>
      <c r="AD39">
        <v>29</v>
      </c>
      <c r="AE39">
        <v>30</v>
      </c>
      <c r="AF39">
        <v>31</v>
      </c>
      <c r="AG39">
        <v>32</v>
      </c>
      <c r="AH39">
        <v>33</v>
      </c>
      <c r="AI39">
        <v>34</v>
      </c>
      <c r="AJ39">
        <v>35</v>
      </c>
      <c r="AK39">
        <v>36</v>
      </c>
      <c r="AL39">
        <v>37</v>
      </c>
      <c r="AM39">
        <v>38</v>
      </c>
      <c r="AN39">
        <v>39</v>
      </c>
      <c r="AO39">
        <v>40</v>
      </c>
      <c r="AP39">
        <v>41</v>
      </c>
      <c r="AQ39">
        <v>42</v>
      </c>
      <c r="AR39">
        <v>43</v>
      </c>
      <c r="AS39">
        <v>44</v>
      </c>
      <c r="AT39">
        <v>45</v>
      </c>
      <c r="AU39">
        <v>46</v>
      </c>
      <c r="AV39">
        <v>47</v>
      </c>
      <c r="AW39">
        <v>48</v>
      </c>
      <c r="AX39">
        <v>49</v>
      </c>
      <c r="AY39">
        <v>50</v>
      </c>
      <c r="AZ39">
        <v>51</v>
      </c>
      <c r="BA39">
        <v>52</v>
      </c>
      <c r="BB39">
        <v>53</v>
      </c>
      <c r="BC39">
        <v>54</v>
      </c>
      <c r="BD39">
        <v>55</v>
      </c>
      <c r="BE39">
        <v>56</v>
      </c>
      <c r="BF39">
        <v>57</v>
      </c>
      <c r="BG39">
        <v>58</v>
      </c>
      <c r="BH39">
        <v>59</v>
      </c>
      <c r="BI39">
        <v>60</v>
      </c>
    </row>
    <row r="40" spans="1:89" x14ac:dyDescent="0.25">
      <c r="A40" t="s">
        <v>16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</row>
    <row r="42" spans="1:89" x14ac:dyDescent="0.25">
      <c r="A42" t="s">
        <v>17</v>
      </c>
      <c r="B42">
        <v>1</v>
      </c>
      <c r="C42">
        <v>2</v>
      </c>
      <c r="D42">
        <v>3</v>
      </c>
      <c r="E42">
        <v>4</v>
      </c>
      <c r="F42">
        <v>5</v>
      </c>
      <c r="G42">
        <v>6</v>
      </c>
      <c r="H42">
        <v>7</v>
      </c>
      <c r="I42">
        <v>8</v>
      </c>
      <c r="J42">
        <v>9</v>
      </c>
      <c r="K42">
        <v>10</v>
      </c>
      <c r="L42">
        <v>11</v>
      </c>
      <c r="M42">
        <v>12</v>
      </c>
      <c r="N42">
        <v>13</v>
      </c>
      <c r="O42">
        <v>14</v>
      </c>
      <c r="P42">
        <v>15</v>
      </c>
      <c r="Q42">
        <v>16</v>
      </c>
      <c r="R42">
        <v>17</v>
      </c>
      <c r="S42">
        <v>18</v>
      </c>
      <c r="T42">
        <v>19</v>
      </c>
      <c r="U42">
        <v>20</v>
      </c>
      <c r="V42">
        <v>21</v>
      </c>
      <c r="W42">
        <v>22</v>
      </c>
      <c r="X42">
        <v>23</v>
      </c>
      <c r="Y42">
        <v>24</v>
      </c>
      <c r="Z42">
        <v>25</v>
      </c>
      <c r="AA42">
        <v>26</v>
      </c>
      <c r="AB42">
        <v>27</v>
      </c>
      <c r="AC42">
        <v>28</v>
      </c>
      <c r="AD42">
        <v>29</v>
      </c>
      <c r="AE42">
        <v>30</v>
      </c>
      <c r="AF42">
        <v>31</v>
      </c>
      <c r="AG42">
        <v>32</v>
      </c>
      <c r="AH42">
        <v>33</v>
      </c>
      <c r="AI42">
        <v>34</v>
      </c>
      <c r="AJ42">
        <v>35</v>
      </c>
      <c r="AK42">
        <v>36</v>
      </c>
      <c r="AL42">
        <v>37</v>
      </c>
      <c r="AM42">
        <v>38</v>
      </c>
      <c r="AN42">
        <v>39</v>
      </c>
      <c r="AO42">
        <v>40</v>
      </c>
      <c r="AP42">
        <v>41</v>
      </c>
      <c r="AQ42">
        <v>42</v>
      </c>
      <c r="AR42">
        <v>43</v>
      </c>
      <c r="AS42">
        <v>44</v>
      </c>
      <c r="AT42">
        <v>45</v>
      </c>
      <c r="AU42">
        <v>46</v>
      </c>
      <c r="AV42">
        <v>47</v>
      </c>
      <c r="AW42">
        <v>48</v>
      </c>
      <c r="AX42">
        <v>49</v>
      </c>
      <c r="AY42">
        <v>50</v>
      </c>
      <c r="AZ42">
        <v>51</v>
      </c>
      <c r="BA42">
        <v>52</v>
      </c>
      <c r="BB42">
        <v>53</v>
      </c>
      <c r="BC42">
        <v>54</v>
      </c>
      <c r="BD42">
        <v>55</v>
      </c>
      <c r="BE42">
        <v>56</v>
      </c>
      <c r="BF42">
        <v>57</v>
      </c>
      <c r="BG42">
        <v>58</v>
      </c>
      <c r="BH42">
        <v>59</v>
      </c>
      <c r="BI42">
        <v>60</v>
      </c>
    </row>
    <row r="43" spans="1:89" x14ac:dyDescent="0.25">
      <c r="A43" t="s">
        <v>157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</row>
    <row r="44" spans="1:89" s="46" customFormat="1" x14ac:dyDescent="0.25">
      <c r="A44" s="46" t="s">
        <v>147</v>
      </c>
      <c r="B44" s="19">
        <v>3091.5</v>
      </c>
      <c r="C44" s="55">
        <f>B44*(1+B45)</f>
        <v>3060.585</v>
      </c>
      <c r="D44" s="55">
        <f t="shared" ref="D44:BI44" si="25">C44*(1+C45)</f>
        <v>3029.9791500000001</v>
      </c>
      <c r="E44" s="55">
        <f t="shared" si="25"/>
        <v>2999.6793585</v>
      </c>
      <c r="F44" s="55">
        <f t="shared" si="25"/>
        <v>2969.6825649150001</v>
      </c>
      <c r="G44" s="55">
        <f t="shared" si="25"/>
        <v>2939.98573926585</v>
      </c>
      <c r="H44" s="55">
        <f t="shared" si="25"/>
        <v>2910.5858818731917</v>
      </c>
      <c r="I44" s="55">
        <f t="shared" si="25"/>
        <v>2881.4800230544597</v>
      </c>
      <c r="J44" s="55">
        <f t="shared" si="25"/>
        <v>2852.665222823915</v>
      </c>
      <c r="K44" s="55">
        <f t="shared" si="25"/>
        <v>2824.1385705956759</v>
      </c>
      <c r="L44" s="55">
        <f t="shared" si="25"/>
        <v>2795.897184889719</v>
      </c>
      <c r="M44" s="55">
        <f t="shared" si="25"/>
        <v>2767.9382130408217</v>
      </c>
      <c r="N44" s="55">
        <f>M44*(1+M45)</f>
        <v>2740.2588309104135</v>
      </c>
      <c r="O44" s="55">
        <f t="shared" si="25"/>
        <v>2712.8562426013095</v>
      </c>
      <c r="P44" s="55">
        <f t="shared" si="25"/>
        <v>2685.7276801752964</v>
      </c>
      <c r="Q44" s="55">
        <f t="shared" si="25"/>
        <v>2658.8704033735435</v>
      </c>
      <c r="R44" s="55">
        <f t="shared" si="25"/>
        <v>2632.2816993398078</v>
      </c>
      <c r="S44" s="55">
        <f t="shared" si="25"/>
        <v>2605.9588823464096</v>
      </c>
      <c r="T44" s="55">
        <f t="shared" si="25"/>
        <v>2579.8992935229453</v>
      </c>
      <c r="U44" s="55">
        <f t="shared" si="25"/>
        <v>2554.100300587716</v>
      </c>
      <c r="V44" s="55">
        <f t="shared" si="25"/>
        <v>2528.559297581839</v>
      </c>
      <c r="W44" s="55">
        <f t="shared" si="25"/>
        <v>2503.2737046060206</v>
      </c>
      <c r="X44" s="55">
        <f t="shared" si="25"/>
        <v>2478.2409675599602</v>
      </c>
      <c r="Y44" s="55">
        <f t="shared" si="25"/>
        <v>2453.4585578843607</v>
      </c>
      <c r="Z44" s="55">
        <f t="shared" si="25"/>
        <v>2428.9239723055171</v>
      </c>
      <c r="AA44" s="55">
        <f t="shared" si="25"/>
        <v>2404.6347325824618</v>
      </c>
      <c r="AB44" s="55">
        <f t="shared" si="25"/>
        <v>2380.5883852566371</v>
      </c>
      <c r="AC44" s="55">
        <f t="shared" si="25"/>
        <v>2356.7825014040709</v>
      </c>
      <c r="AD44" s="55">
        <f t="shared" si="25"/>
        <v>2333.21467639003</v>
      </c>
      <c r="AE44" s="55">
        <f t="shared" si="25"/>
        <v>2309.8825296261298</v>
      </c>
      <c r="AF44" s="55">
        <f t="shared" si="25"/>
        <v>2286.7837043298687</v>
      </c>
      <c r="AG44" s="55">
        <f t="shared" si="25"/>
        <v>2263.9158672865701</v>
      </c>
      <c r="AH44" s="55">
        <f t="shared" si="25"/>
        <v>2241.2767086137046</v>
      </c>
      <c r="AI44" s="55">
        <f t="shared" si="25"/>
        <v>2218.8639415275675</v>
      </c>
      <c r="AJ44" s="55">
        <f t="shared" si="25"/>
        <v>2196.6753021122918</v>
      </c>
      <c r="AK44" s="55">
        <f t="shared" si="25"/>
        <v>2174.7085490911691</v>
      </c>
      <c r="AL44" s="55">
        <f t="shared" si="25"/>
        <v>2152.9614636002575</v>
      </c>
      <c r="AM44" s="55">
        <f t="shared" si="25"/>
        <v>2131.4318489642551</v>
      </c>
      <c r="AN44" s="55">
        <f t="shared" si="25"/>
        <v>2110.1175304746125</v>
      </c>
      <c r="AO44" s="55">
        <f t="shared" si="25"/>
        <v>2089.0163551698665</v>
      </c>
      <c r="AP44" s="55">
        <f t="shared" si="25"/>
        <v>2068.1261916181679</v>
      </c>
      <c r="AQ44" s="55">
        <f t="shared" si="25"/>
        <v>2047.4449297019862</v>
      </c>
      <c r="AR44" s="55">
        <f t="shared" si="25"/>
        <v>2026.9704804049663</v>
      </c>
      <c r="AS44" s="55">
        <f t="shared" si="25"/>
        <v>2006.7007756009166</v>
      </c>
      <c r="AT44" s="55">
        <f t="shared" si="25"/>
        <v>1986.6337678449074</v>
      </c>
      <c r="AU44" s="55">
        <f t="shared" si="25"/>
        <v>1966.7674301664583</v>
      </c>
      <c r="AV44" s="55">
        <f t="shared" si="25"/>
        <v>1947.0997558647937</v>
      </c>
      <c r="AW44" s="55">
        <f t="shared" si="25"/>
        <v>1927.6287583061458</v>
      </c>
      <c r="AX44" s="55">
        <f t="shared" si="25"/>
        <v>1908.3524707230843</v>
      </c>
      <c r="AY44" s="55">
        <f t="shared" si="25"/>
        <v>1889.2689460158533</v>
      </c>
      <c r="AZ44" s="55">
        <f t="shared" si="25"/>
        <v>1870.3762565556947</v>
      </c>
      <c r="BA44" s="55">
        <f t="shared" si="25"/>
        <v>1851.6724939901378</v>
      </c>
      <c r="BB44" s="55">
        <f t="shared" si="25"/>
        <v>1833.1557690502364</v>
      </c>
      <c r="BC44" s="55">
        <f t="shared" si="25"/>
        <v>1814.8242113597339</v>
      </c>
      <c r="BD44" s="55">
        <f t="shared" si="25"/>
        <v>1796.6759692461364</v>
      </c>
      <c r="BE44" s="55">
        <f t="shared" si="25"/>
        <v>1778.709209553675</v>
      </c>
      <c r="BF44" s="55">
        <f t="shared" si="25"/>
        <v>1760.9221174581382</v>
      </c>
      <c r="BG44" s="55">
        <f t="shared" si="25"/>
        <v>1743.3128962835569</v>
      </c>
      <c r="BH44" s="55">
        <f t="shared" si="25"/>
        <v>1725.8797673207214</v>
      </c>
      <c r="BI44" s="55">
        <f t="shared" si="25"/>
        <v>1708.6209696475141</v>
      </c>
    </row>
    <row r="45" spans="1:89" s="56" customFormat="1" x14ac:dyDescent="0.25">
      <c r="A45" s="30" t="s">
        <v>123</v>
      </c>
      <c r="B45" s="43">
        <v>-0.01</v>
      </c>
      <c r="C45" s="43">
        <v>-0.01</v>
      </c>
      <c r="D45" s="43">
        <v>-0.01</v>
      </c>
      <c r="E45" s="43">
        <v>-0.01</v>
      </c>
      <c r="F45" s="43">
        <v>-0.01</v>
      </c>
      <c r="G45" s="43">
        <v>-0.01</v>
      </c>
      <c r="H45" s="43">
        <v>-0.01</v>
      </c>
      <c r="I45" s="43">
        <v>-0.01</v>
      </c>
      <c r="J45" s="43">
        <v>-0.01</v>
      </c>
      <c r="K45" s="43">
        <v>-0.01</v>
      </c>
      <c r="L45" s="43">
        <v>-0.01</v>
      </c>
      <c r="M45" s="43">
        <v>-0.01</v>
      </c>
      <c r="N45" s="43">
        <v>-0.01</v>
      </c>
      <c r="O45" s="43">
        <v>-0.01</v>
      </c>
      <c r="P45" s="43">
        <v>-0.01</v>
      </c>
      <c r="Q45" s="43">
        <v>-0.01</v>
      </c>
      <c r="R45" s="43">
        <v>-0.01</v>
      </c>
      <c r="S45" s="43">
        <v>-0.01</v>
      </c>
      <c r="T45" s="43">
        <v>-0.01</v>
      </c>
      <c r="U45" s="43">
        <v>-0.01</v>
      </c>
      <c r="V45" s="43">
        <v>-0.01</v>
      </c>
      <c r="W45" s="43">
        <v>-0.01</v>
      </c>
      <c r="X45" s="43">
        <v>-0.01</v>
      </c>
      <c r="Y45" s="43">
        <v>-0.01</v>
      </c>
      <c r="Z45" s="43">
        <v>-0.01</v>
      </c>
      <c r="AA45" s="43">
        <v>-0.01</v>
      </c>
      <c r="AB45" s="43">
        <v>-0.01</v>
      </c>
      <c r="AC45" s="43">
        <v>-0.01</v>
      </c>
      <c r="AD45" s="43">
        <v>-0.01</v>
      </c>
      <c r="AE45" s="43">
        <v>-0.01</v>
      </c>
      <c r="AF45" s="43">
        <v>-0.01</v>
      </c>
      <c r="AG45" s="43">
        <v>-0.01</v>
      </c>
      <c r="AH45" s="43">
        <v>-0.01</v>
      </c>
      <c r="AI45" s="43">
        <v>-0.01</v>
      </c>
      <c r="AJ45" s="43">
        <v>-0.01</v>
      </c>
      <c r="AK45" s="43">
        <v>-0.01</v>
      </c>
      <c r="AL45" s="43">
        <v>-0.01</v>
      </c>
      <c r="AM45" s="43">
        <v>-0.01</v>
      </c>
      <c r="AN45" s="43">
        <v>-0.01</v>
      </c>
      <c r="AO45" s="43">
        <v>-0.01</v>
      </c>
      <c r="AP45" s="43">
        <v>-0.01</v>
      </c>
      <c r="AQ45" s="43">
        <v>-0.01</v>
      </c>
      <c r="AR45" s="43">
        <v>-0.01</v>
      </c>
      <c r="AS45" s="43">
        <v>-0.01</v>
      </c>
      <c r="AT45" s="43">
        <v>-0.01</v>
      </c>
      <c r="AU45" s="43">
        <v>-0.01</v>
      </c>
      <c r="AV45" s="43">
        <v>-0.01</v>
      </c>
      <c r="AW45" s="43">
        <v>-0.01</v>
      </c>
      <c r="AX45" s="43">
        <v>-0.01</v>
      </c>
      <c r="AY45" s="43">
        <v>-0.01</v>
      </c>
      <c r="AZ45" s="43">
        <v>-0.01</v>
      </c>
      <c r="BA45" s="43">
        <v>-0.01</v>
      </c>
      <c r="BB45" s="43">
        <v>-0.01</v>
      </c>
      <c r="BC45" s="43">
        <v>-0.01</v>
      </c>
      <c r="BD45" s="43">
        <v>-0.01</v>
      </c>
      <c r="BE45" s="43">
        <v>-0.01</v>
      </c>
      <c r="BF45" s="43">
        <v>-0.01</v>
      </c>
      <c r="BG45" s="43">
        <v>-0.01</v>
      </c>
      <c r="BH45" s="43">
        <v>-0.01</v>
      </c>
      <c r="BI45" s="43">
        <v>-0.01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</row>
    <row r="46" spans="1:89" s="46" customFormat="1" x14ac:dyDescent="0.25">
      <c r="A46" s="46" t="s">
        <v>144</v>
      </c>
      <c r="B46" s="19">
        <v>240</v>
      </c>
      <c r="C46" s="19">
        <v>240</v>
      </c>
      <c r="D46" s="19">
        <v>240</v>
      </c>
      <c r="E46" s="19">
        <v>240</v>
      </c>
      <c r="F46" s="19">
        <v>240</v>
      </c>
      <c r="G46" s="19">
        <v>240</v>
      </c>
      <c r="H46" s="19">
        <v>240</v>
      </c>
      <c r="I46" s="19">
        <v>240</v>
      </c>
      <c r="J46" s="19">
        <v>240</v>
      </c>
      <c r="K46" s="19">
        <v>240</v>
      </c>
      <c r="L46" s="19">
        <v>240</v>
      </c>
      <c r="M46" s="19">
        <v>240</v>
      </c>
      <c r="N46" s="19">
        <v>240</v>
      </c>
      <c r="O46" s="19">
        <v>240</v>
      </c>
      <c r="P46" s="19">
        <v>240</v>
      </c>
      <c r="Q46" s="19">
        <v>240</v>
      </c>
      <c r="R46" s="19">
        <v>240</v>
      </c>
      <c r="S46" s="19">
        <v>240</v>
      </c>
      <c r="T46" s="19">
        <v>240</v>
      </c>
      <c r="U46" s="19">
        <v>240</v>
      </c>
      <c r="V46" s="19">
        <v>240</v>
      </c>
      <c r="W46" s="19">
        <v>240</v>
      </c>
      <c r="X46" s="19">
        <v>240</v>
      </c>
      <c r="Y46" s="19">
        <v>240</v>
      </c>
      <c r="Z46" s="19">
        <v>240</v>
      </c>
      <c r="AA46" s="19">
        <v>240</v>
      </c>
      <c r="AB46" s="19">
        <v>240</v>
      </c>
      <c r="AC46" s="19">
        <v>240</v>
      </c>
      <c r="AD46" s="19">
        <v>240</v>
      </c>
      <c r="AE46" s="19">
        <v>240</v>
      </c>
      <c r="AF46" s="19">
        <v>240</v>
      </c>
      <c r="AG46" s="19">
        <v>240</v>
      </c>
      <c r="AH46" s="19">
        <v>240</v>
      </c>
      <c r="AI46" s="19">
        <v>240</v>
      </c>
      <c r="AJ46" s="19">
        <v>240</v>
      </c>
      <c r="AK46" s="19">
        <v>240</v>
      </c>
      <c r="AL46" s="19">
        <v>240</v>
      </c>
      <c r="AM46" s="19">
        <v>240</v>
      </c>
      <c r="AN46" s="19">
        <v>240</v>
      </c>
      <c r="AO46" s="19">
        <v>240</v>
      </c>
      <c r="AP46" s="19">
        <v>240</v>
      </c>
      <c r="AQ46" s="19">
        <v>240</v>
      </c>
      <c r="AR46" s="19">
        <v>240</v>
      </c>
      <c r="AS46" s="19">
        <v>240</v>
      </c>
      <c r="AT46" s="19">
        <v>240</v>
      </c>
      <c r="AU46" s="19">
        <v>240</v>
      </c>
      <c r="AV46" s="19">
        <v>240</v>
      </c>
      <c r="AW46" s="19">
        <v>240</v>
      </c>
      <c r="AX46" s="19">
        <v>240</v>
      </c>
      <c r="AY46" s="19">
        <v>240</v>
      </c>
      <c r="AZ46" s="19">
        <v>240</v>
      </c>
      <c r="BA46" s="19">
        <v>240</v>
      </c>
      <c r="BB46" s="19">
        <v>240</v>
      </c>
      <c r="BC46" s="19">
        <v>240</v>
      </c>
      <c r="BD46" s="19">
        <v>240</v>
      </c>
      <c r="BE46" s="19">
        <v>240</v>
      </c>
      <c r="BF46" s="19">
        <v>240</v>
      </c>
      <c r="BG46" s="19">
        <v>240</v>
      </c>
      <c r="BH46" s="19">
        <v>240</v>
      </c>
      <c r="BI46" s="19">
        <v>240</v>
      </c>
    </row>
    <row r="47" spans="1:89" s="46" customFormat="1" x14ac:dyDescent="0.25">
      <c r="A47" s="46" t="s">
        <v>148</v>
      </c>
      <c r="B47" s="19">
        <v>200</v>
      </c>
      <c r="C47" s="19">
        <v>200</v>
      </c>
      <c r="D47" s="19">
        <v>200</v>
      </c>
      <c r="E47" s="19">
        <v>200</v>
      </c>
      <c r="F47" s="19">
        <v>200</v>
      </c>
      <c r="G47" s="19">
        <v>200</v>
      </c>
      <c r="H47" s="19">
        <v>200</v>
      </c>
      <c r="I47" s="19">
        <v>200</v>
      </c>
      <c r="J47" s="19">
        <v>200</v>
      </c>
      <c r="K47" s="19">
        <v>200</v>
      </c>
      <c r="L47" s="19">
        <v>200</v>
      </c>
      <c r="M47" s="19">
        <v>200</v>
      </c>
      <c r="N47" s="19">
        <v>200</v>
      </c>
      <c r="O47" s="19">
        <v>200</v>
      </c>
      <c r="P47" s="19">
        <v>200</v>
      </c>
      <c r="Q47" s="19">
        <v>200</v>
      </c>
      <c r="R47" s="19">
        <v>200</v>
      </c>
      <c r="S47" s="19">
        <v>200</v>
      </c>
      <c r="T47" s="19">
        <v>200</v>
      </c>
      <c r="U47" s="19">
        <v>200</v>
      </c>
      <c r="V47" s="19">
        <v>200</v>
      </c>
      <c r="W47" s="19">
        <v>200</v>
      </c>
      <c r="X47" s="19">
        <v>200</v>
      </c>
      <c r="Y47" s="19">
        <v>200</v>
      </c>
      <c r="Z47" s="19">
        <v>200</v>
      </c>
      <c r="AA47" s="19">
        <v>200</v>
      </c>
      <c r="AB47" s="19">
        <v>200</v>
      </c>
      <c r="AC47" s="19">
        <v>200</v>
      </c>
      <c r="AD47" s="19">
        <v>200</v>
      </c>
      <c r="AE47" s="19">
        <v>200</v>
      </c>
      <c r="AF47" s="19">
        <v>200</v>
      </c>
      <c r="AG47" s="19">
        <v>200</v>
      </c>
      <c r="AH47" s="19">
        <v>200</v>
      </c>
      <c r="AI47" s="19">
        <v>200</v>
      </c>
      <c r="AJ47" s="19">
        <v>200</v>
      </c>
      <c r="AK47" s="19">
        <v>200</v>
      </c>
      <c r="AL47" s="19">
        <v>200</v>
      </c>
      <c r="AM47" s="19">
        <v>200</v>
      </c>
      <c r="AN47" s="19">
        <v>200</v>
      </c>
      <c r="AO47" s="19">
        <v>200</v>
      </c>
      <c r="AP47" s="19">
        <v>200</v>
      </c>
      <c r="AQ47" s="19">
        <v>200</v>
      </c>
      <c r="AR47" s="19">
        <v>200</v>
      </c>
      <c r="AS47" s="19">
        <v>200</v>
      </c>
      <c r="AT47" s="19">
        <v>200</v>
      </c>
      <c r="AU47" s="19">
        <v>200</v>
      </c>
      <c r="AV47" s="19">
        <v>200</v>
      </c>
      <c r="AW47" s="19">
        <v>200</v>
      </c>
      <c r="AX47" s="19">
        <v>200</v>
      </c>
      <c r="AY47" s="19">
        <v>200</v>
      </c>
      <c r="AZ47" s="19">
        <v>200</v>
      </c>
      <c r="BA47" s="19">
        <v>200</v>
      </c>
      <c r="BB47" s="19">
        <v>200</v>
      </c>
      <c r="BC47" s="19">
        <v>200</v>
      </c>
      <c r="BD47" s="19">
        <v>200</v>
      </c>
      <c r="BE47" s="19">
        <v>200</v>
      </c>
      <c r="BF47" s="19">
        <v>200</v>
      </c>
      <c r="BG47" s="19">
        <v>200</v>
      </c>
      <c r="BH47" s="19">
        <v>200</v>
      </c>
      <c r="BI47" s="19">
        <v>200</v>
      </c>
    </row>
    <row r="48" spans="1:89" s="46" customFormat="1" x14ac:dyDescent="0.25">
      <c r="A48" s="46" t="s">
        <v>149</v>
      </c>
      <c r="B48" s="19">
        <v>1250</v>
      </c>
      <c r="C48" s="55">
        <f>B48*(1+B49)</f>
        <v>1262.5</v>
      </c>
      <c r="D48" s="55">
        <f t="shared" ref="D48:BI48" si="26">C48*(1+C49)</f>
        <v>1275.125</v>
      </c>
      <c r="E48" s="55">
        <f t="shared" si="26"/>
        <v>1287.87625</v>
      </c>
      <c r="F48" s="55">
        <f t="shared" si="26"/>
        <v>1300.7550125</v>
      </c>
      <c r="G48" s="55">
        <f t="shared" si="26"/>
        <v>1313.7625626250001</v>
      </c>
      <c r="H48" s="55">
        <f t="shared" si="26"/>
        <v>1326.90018825125</v>
      </c>
      <c r="I48" s="55">
        <f t="shared" si="26"/>
        <v>1340.1691901337626</v>
      </c>
      <c r="J48" s="55">
        <f t="shared" si="26"/>
        <v>1353.5708820351003</v>
      </c>
      <c r="K48" s="55">
        <f t="shared" si="26"/>
        <v>1367.1065908554513</v>
      </c>
      <c r="L48" s="55">
        <f t="shared" si="26"/>
        <v>1380.7776567640058</v>
      </c>
      <c r="M48" s="55">
        <f t="shared" si="26"/>
        <v>1394.5854333316458</v>
      </c>
      <c r="N48" s="55">
        <f t="shared" si="26"/>
        <v>1408.5312876649623</v>
      </c>
      <c r="O48" s="55">
        <f t="shared" si="26"/>
        <v>1422.6166005416119</v>
      </c>
      <c r="P48" s="55">
        <f t="shared" si="26"/>
        <v>1436.8427665470281</v>
      </c>
      <c r="Q48" s="55">
        <f t="shared" si="26"/>
        <v>1451.2111942124984</v>
      </c>
      <c r="R48" s="55">
        <f t="shared" si="26"/>
        <v>1465.7233061546235</v>
      </c>
      <c r="S48" s="55">
        <f t="shared" si="26"/>
        <v>1480.3805392161698</v>
      </c>
      <c r="T48" s="55">
        <f t="shared" si="26"/>
        <v>1495.1843446083315</v>
      </c>
      <c r="U48" s="55">
        <f t="shared" si="26"/>
        <v>1510.1361880544148</v>
      </c>
      <c r="V48" s="55">
        <f t="shared" si="26"/>
        <v>1525.2375499349589</v>
      </c>
      <c r="W48" s="55">
        <f t="shared" si="26"/>
        <v>1540.4899254343086</v>
      </c>
      <c r="X48" s="55">
        <f t="shared" si="26"/>
        <v>1555.8948246886516</v>
      </c>
      <c r="Y48" s="55">
        <f t="shared" si="26"/>
        <v>1571.4537729355382</v>
      </c>
      <c r="Z48" s="55">
        <f t="shared" si="26"/>
        <v>1587.1683106648936</v>
      </c>
      <c r="AA48" s="55">
        <f t="shared" si="26"/>
        <v>1603.0399937715426</v>
      </c>
      <c r="AB48" s="55">
        <f t="shared" si="26"/>
        <v>1619.070393709258</v>
      </c>
      <c r="AC48" s="55">
        <f t="shared" si="26"/>
        <v>1635.2610976463507</v>
      </c>
      <c r="AD48" s="55">
        <f t="shared" si="26"/>
        <v>1651.6137086228141</v>
      </c>
      <c r="AE48" s="55">
        <f t="shared" si="26"/>
        <v>1668.1298457090422</v>
      </c>
      <c r="AF48" s="55">
        <f t="shared" si="26"/>
        <v>1684.8111441661326</v>
      </c>
      <c r="AG48" s="55">
        <f t="shared" si="26"/>
        <v>1701.659255607794</v>
      </c>
      <c r="AH48" s="55">
        <f t="shared" si="26"/>
        <v>1718.6758481638719</v>
      </c>
      <c r="AI48" s="55">
        <f t="shared" si="26"/>
        <v>1735.8626066455106</v>
      </c>
      <c r="AJ48" s="55">
        <f t="shared" si="26"/>
        <v>1753.2212327119657</v>
      </c>
      <c r="AK48" s="55">
        <f t="shared" si="26"/>
        <v>1770.7534450390854</v>
      </c>
      <c r="AL48" s="55">
        <f t="shared" si="26"/>
        <v>1788.4609794894761</v>
      </c>
      <c r="AM48" s="55">
        <f t="shared" si="26"/>
        <v>1806.3455892843708</v>
      </c>
      <c r="AN48" s="55">
        <f t="shared" si="26"/>
        <v>1824.4090451772145</v>
      </c>
      <c r="AO48" s="55">
        <f t="shared" si="26"/>
        <v>1842.6531356289865</v>
      </c>
      <c r="AP48" s="55">
        <f t="shared" si="26"/>
        <v>1861.0796669852764</v>
      </c>
      <c r="AQ48" s="55">
        <f t="shared" si="26"/>
        <v>1879.6904636551292</v>
      </c>
      <c r="AR48" s="55">
        <f t="shared" si="26"/>
        <v>1898.4873682916805</v>
      </c>
      <c r="AS48" s="55">
        <f t="shared" si="26"/>
        <v>1917.4722419745972</v>
      </c>
      <c r="AT48" s="55">
        <f t="shared" si="26"/>
        <v>1936.6469643943431</v>
      </c>
      <c r="AU48" s="55">
        <f t="shared" si="26"/>
        <v>1956.0134340382865</v>
      </c>
      <c r="AV48" s="55">
        <f t="shared" si="26"/>
        <v>1975.5735683786693</v>
      </c>
      <c r="AW48" s="55">
        <f t="shared" si="26"/>
        <v>1995.329304062456</v>
      </c>
      <c r="AX48" s="55">
        <f t="shared" si="26"/>
        <v>2015.2825971030807</v>
      </c>
      <c r="AY48" s="55">
        <f t="shared" si="26"/>
        <v>2035.4354230741114</v>
      </c>
      <c r="AZ48" s="55">
        <f t="shared" si="26"/>
        <v>2055.7897773048526</v>
      </c>
      <c r="BA48" s="55">
        <f t="shared" si="26"/>
        <v>2076.3476750779009</v>
      </c>
      <c r="BB48" s="55">
        <f t="shared" si="26"/>
        <v>2097.1111518286798</v>
      </c>
      <c r="BC48" s="55">
        <f t="shared" si="26"/>
        <v>2118.0822633469666</v>
      </c>
      <c r="BD48" s="55">
        <f t="shared" si="26"/>
        <v>2139.2630859804362</v>
      </c>
      <c r="BE48" s="55">
        <f t="shared" si="26"/>
        <v>2160.6557168402405</v>
      </c>
      <c r="BF48" s="55">
        <f t="shared" si="26"/>
        <v>2182.2622740086431</v>
      </c>
      <c r="BG48" s="55">
        <f t="shared" si="26"/>
        <v>2204.0848967487295</v>
      </c>
      <c r="BH48" s="55">
        <f t="shared" si="26"/>
        <v>2226.1257457162169</v>
      </c>
      <c r="BI48" s="55">
        <f t="shared" si="26"/>
        <v>2248.3870031733791</v>
      </c>
    </row>
    <row r="49" spans="1:89" s="56" customFormat="1" x14ac:dyDescent="0.25">
      <c r="A49" s="30" t="s">
        <v>123</v>
      </c>
      <c r="B49" s="43">
        <v>0.01</v>
      </c>
      <c r="C49" s="43">
        <v>0.01</v>
      </c>
      <c r="D49" s="43">
        <v>0.01</v>
      </c>
      <c r="E49" s="43">
        <v>0.01</v>
      </c>
      <c r="F49" s="43">
        <v>0.01</v>
      </c>
      <c r="G49" s="43">
        <v>0.01</v>
      </c>
      <c r="H49" s="43">
        <v>0.01</v>
      </c>
      <c r="I49" s="43">
        <v>0.01</v>
      </c>
      <c r="J49" s="43">
        <v>0.01</v>
      </c>
      <c r="K49" s="43">
        <v>0.01</v>
      </c>
      <c r="L49" s="43">
        <v>0.01</v>
      </c>
      <c r="M49" s="43">
        <v>0.01</v>
      </c>
      <c r="N49" s="43">
        <v>0.01</v>
      </c>
      <c r="O49" s="43">
        <v>0.01</v>
      </c>
      <c r="P49" s="43">
        <v>0.01</v>
      </c>
      <c r="Q49" s="43">
        <v>0.01</v>
      </c>
      <c r="R49" s="43">
        <v>0.01</v>
      </c>
      <c r="S49" s="43">
        <v>0.01</v>
      </c>
      <c r="T49" s="43">
        <v>0.01</v>
      </c>
      <c r="U49" s="43">
        <v>0.01</v>
      </c>
      <c r="V49" s="43">
        <v>0.01</v>
      </c>
      <c r="W49" s="43">
        <v>0.01</v>
      </c>
      <c r="X49" s="43">
        <v>0.01</v>
      </c>
      <c r="Y49" s="43">
        <v>0.01</v>
      </c>
      <c r="Z49" s="43">
        <v>0.01</v>
      </c>
      <c r="AA49" s="43">
        <v>0.01</v>
      </c>
      <c r="AB49" s="43">
        <v>0.01</v>
      </c>
      <c r="AC49" s="43">
        <v>0.01</v>
      </c>
      <c r="AD49" s="43">
        <v>0.01</v>
      </c>
      <c r="AE49" s="43">
        <v>0.01</v>
      </c>
      <c r="AF49" s="43">
        <v>0.01</v>
      </c>
      <c r="AG49" s="43">
        <v>0.01</v>
      </c>
      <c r="AH49" s="43">
        <v>0.01</v>
      </c>
      <c r="AI49" s="43">
        <v>0.01</v>
      </c>
      <c r="AJ49" s="43">
        <v>0.01</v>
      </c>
      <c r="AK49" s="43">
        <v>0.01</v>
      </c>
      <c r="AL49" s="43">
        <v>0.01</v>
      </c>
      <c r="AM49" s="43">
        <v>0.01</v>
      </c>
      <c r="AN49" s="43">
        <v>0.01</v>
      </c>
      <c r="AO49" s="43">
        <v>0.01</v>
      </c>
      <c r="AP49" s="43">
        <v>0.01</v>
      </c>
      <c r="AQ49" s="43">
        <v>0.01</v>
      </c>
      <c r="AR49" s="43">
        <v>0.01</v>
      </c>
      <c r="AS49" s="43">
        <v>0.01</v>
      </c>
      <c r="AT49" s="43">
        <v>0.01</v>
      </c>
      <c r="AU49" s="43">
        <v>0.01</v>
      </c>
      <c r="AV49" s="43">
        <v>0.01</v>
      </c>
      <c r="AW49" s="43">
        <v>0.01</v>
      </c>
      <c r="AX49" s="43">
        <v>0.01</v>
      </c>
      <c r="AY49" s="43">
        <v>0.01</v>
      </c>
      <c r="AZ49" s="43">
        <v>0.01</v>
      </c>
      <c r="BA49" s="43">
        <v>0.01</v>
      </c>
      <c r="BB49" s="43">
        <v>0.01</v>
      </c>
      <c r="BC49" s="43">
        <v>0.01</v>
      </c>
      <c r="BD49" s="43">
        <v>0.01</v>
      </c>
      <c r="BE49" s="43">
        <v>0.01</v>
      </c>
      <c r="BF49" s="43">
        <v>0.01</v>
      </c>
      <c r="BG49" s="43">
        <v>0.01</v>
      </c>
      <c r="BH49" s="43">
        <v>0.01</v>
      </c>
      <c r="BI49" s="43">
        <v>0.01</v>
      </c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</row>
    <row r="50" spans="1:89" s="46" customFormat="1" x14ac:dyDescent="0.25">
      <c r="A50" s="46" t="s">
        <v>146</v>
      </c>
      <c r="B50" s="19">
        <v>6939.91</v>
      </c>
      <c r="C50" s="19">
        <v>6939.91</v>
      </c>
      <c r="D50" s="19">
        <v>6939.91</v>
      </c>
      <c r="E50" s="19">
        <v>6939.91</v>
      </c>
      <c r="F50" s="19">
        <v>6939.91</v>
      </c>
      <c r="G50" s="19">
        <v>6939.91</v>
      </c>
      <c r="H50" s="19">
        <v>6939.91</v>
      </c>
      <c r="I50" s="19">
        <v>6939.91</v>
      </c>
      <c r="J50" s="19">
        <v>6939.91</v>
      </c>
      <c r="K50" s="19">
        <v>6939.91</v>
      </c>
      <c r="L50" s="19">
        <v>6939.91</v>
      </c>
      <c r="M50" s="19">
        <v>6939.91</v>
      </c>
      <c r="N50" s="19">
        <v>6939.91</v>
      </c>
      <c r="O50" s="19">
        <v>6939.91</v>
      </c>
      <c r="P50" s="19">
        <v>6939.91</v>
      </c>
      <c r="Q50" s="19">
        <v>6939.91</v>
      </c>
      <c r="R50" s="19">
        <v>6939.91</v>
      </c>
      <c r="S50" s="19">
        <v>6939.91</v>
      </c>
      <c r="T50" s="19">
        <v>6939.91</v>
      </c>
      <c r="U50" s="19">
        <v>6939.91</v>
      </c>
      <c r="V50" s="19">
        <v>6939.91</v>
      </c>
      <c r="W50" s="19">
        <v>6939.91</v>
      </c>
      <c r="X50" s="19">
        <v>6939.91</v>
      </c>
      <c r="Y50" s="19">
        <v>6939.91</v>
      </c>
      <c r="Z50" s="19">
        <v>6939.91</v>
      </c>
      <c r="AA50" s="19">
        <v>6939.91</v>
      </c>
      <c r="AB50" s="19">
        <v>6939.91</v>
      </c>
      <c r="AC50" s="19">
        <v>6939.91</v>
      </c>
      <c r="AD50" s="19">
        <v>6939.91</v>
      </c>
      <c r="AE50" s="19">
        <v>6939.91</v>
      </c>
      <c r="AF50" s="19">
        <v>6939.91</v>
      </c>
      <c r="AG50" s="19">
        <v>6939.91</v>
      </c>
      <c r="AH50" s="19">
        <v>6939.91</v>
      </c>
      <c r="AI50" s="19">
        <v>6939.91</v>
      </c>
      <c r="AJ50" s="19">
        <v>6939.91</v>
      </c>
      <c r="AK50" s="19">
        <v>6939.91</v>
      </c>
      <c r="AL50" s="19">
        <v>6939.91</v>
      </c>
      <c r="AM50" s="19">
        <v>6939.91</v>
      </c>
      <c r="AN50" s="19">
        <v>6939.91</v>
      </c>
      <c r="AO50" s="19">
        <v>6939.91</v>
      </c>
      <c r="AP50" s="19">
        <v>6939.91</v>
      </c>
      <c r="AQ50" s="19">
        <v>6939.91</v>
      </c>
      <c r="AR50" s="19">
        <v>6939.91</v>
      </c>
      <c r="AS50" s="19">
        <v>6939.91</v>
      </c>
      <c r="AT50" s="19">
        <v>6939.91</v>
      </c>
      <c r="AU50" s="19">
        <v>6939.91</v>
      </c>
      <c r="AV50" s="19">
        <v>6939.91</v>
      </c>
      <c r="AW50" s="19">
        <v>6939.91</v>
      </c>
      <c r="AX50" s="19">
        <v>6939.91</v>
      </c>
      <c r="AY50" s="19">
        <v>6939.91</v>
      </c>
      <c r="AZ50" s="19">
        <v>6939.91</v>
      </c>
      <c r="BA50" s="19">
        <v>6939.91</v>
      </c>
      <c r="BB50" s="19">
        <v>6939.91</v>
      </c>
      <c r="BC50" s="19">
        <v>6939.91</v>
      </c>
      <c r="BD50" s="19">
        <v>6939.91</v>
      </c>
      <c r="BE50" s="19">
        <v>6939.91</v>
      </c>
      <c r="BF50" s="19">
        <v>6939.91</v>
      </c>
      <c r="BG50" s="19">
        <v>6939.91</v>
      </c>
      <c r="BH50" s="19">
        <v>6939.91</v>
      </c>
      <c r="BI50" s="19">
        <v>6939.91</v>
      </c>
    </row>
    <row r="51" spans="1:89" s="46" customFormat="1" x14ac:dyDescent="0.25">
      <c r="A51" s="46" t="s">
        <v>145</v>
      </c>
      <c r="B51" s="19">
        <v>100</v>
      </c>
      <c r="C51" s="19">
        <v>100</v>
      </c>
      <c r="D51" s="19">
        <v>100</v>
      </c>
      <c r="E51" s="19">
        <v>100</v>
      </c>
      <c r="F51" s="19">
        <v>100</v>
      </c>
      <c r="G51" s="19">
        <v>100</v>
      </c>
      <c r="H51" s="19">
        <v>100</v>
      </c>
      <c r="I51" s="19">
        <v>100</v>
      </c>
      <c r="J51" s="19">
        <v>100</v>
      </c>
      <c r="K51" s="19">
        <v>100</v>
      </c>
      <c r="L51" s="19">
        <v>100</v>
      </c>
      <c r="M51" s="19">
        <v>100</v>
      </c>
      <c r="N51" s="19">
        <v>100</v>
      </c>
      <c r="O51" s="19">
        <v>100</v>
      </c>
      <c r="P51" s="19">
        <v>100</v>
      </c>
      <c r="Q51" s="19">
        <v>100</v>
      </c>
      <c r="R51" s="19">
        <v>100</v>
      </c>
      <c r="S51" s="19">
        <v>100</v>
      </c>
      <c r="T51" s="19">
        <v>100</v>
      </c>
      <c r="U51" s="19">
        <v>100</v>
      </c>
      <c r="V51" s="19">
        <v>100</v>
      </c>
      <c r="W51" s="19">
        <v>100</v>
      </c>
      <c r="X51" s="19">
        <v>100</v>
      </c>
      <c r="Y51" s="19">
        <v>100</v>
      </c>
      <c r="Z51" s="19">
        <v>100</v>
      </c>
      <c r="AA51" s="19">
        <v>100</v>
      </c>
      <c r="AB51" s="19">
        <v>100</v>
      </c>
      <c r="AC51" s="19">
        <v>100</v>
      </c>
      <c r="AD51" s="19">
        <v>100</v>
      </c>
      <c r="AE51" s="19">
        <v>100</v>
      </c>
      <c r="AF51" s="19">
        <v>100</v>
      </c>
      <c r="AG51" s="19">
        <v>100</v>
      </c>
      <c r="AH51" s="19">
        <v>100</v>
      </c>
      <c r="AI51" s="19">
        <v>100</v>
      </c>
      <c r="AJ51" s="19">
        <v>100</v>
      </c>
      <c r="AK51" s="19">
        <v>100</v>
      </c>
      <c r="AL51" s="19">
        <v>100</v>
      </c>
      <c r="AM51" s="19">
        <v>100</v>
      </c>
      <c r="AN51" s="19">
        <v>100</v>
      </c>
      <c r="AO51" s="19">
        <v>100</v>
      </c>
      <c r="AP51" s="19">
        <v>100</v>
      </c>
      <c r="AQ51" s="19">
        <v>100</v>
      </c>
      <c r="AR51" s="19">
        <v>100</v>
      </c>
      <c r="AS51" s="19">
        <v>100</v>
      </c>
      <c r="AT51" s="19">
        <v>100</v>
      </c>
      <c r="AU51" s="19">
        <v>100</v>
      </c>
      <c r="AV51" s="19">
        <v>100</v>
      </c>
      <c r="AW51" s="19">
        <v>100</v>
      </c>
      <c r="AX51" s="19">
        <v>100</v>
      </c>
      <c r="AY51" s="19">
        <v>100</v>
      </c>
      <c r="AZ51" s="19">
        <v>100</v>
      </c>
      <c r="BA51" s="19">
        <v>100</v>
      </c>
      <c r="BB51" s="19">
        <v>100</v>
      </c>
      <c r="BC51" s="19">
        <v>100</v>
      </c>
      <c r="BD51" s="19">
        <v>100</v>
      </c>
      <c r="BE51" s="19">
        <v>100</v>
      </c>
      <c r="BF51" s="19">
        <v>100</v>
      </c>
      <c r="BG51" s="19">
        <v>100</v>
      </c>
      <c r="BH51" s="19">
        <v>100</v>
      </c>
      <c r="BI51" s="19">
        <v>100</v>
      </c>
    </row>
    <row r="52" spans="1:89" s="46" customFormat="1" x14ac:dyDescent="0.25">
      <c r="A52" s="46" t="s">
        <v>154</v>
      </c>
      <c r="B52" s="19">
        <v>416.67</v>
      </c>
      <c r="C52" s="19">
        <v>416.67</v>
      </c>
      <c r="D52" s="19">
        <v>416.67</v>
      </c>
      <c r="E52" s="19">
        <v>416.67</v>
      </c>
      <c r="F52" s="19">
        <v>416.67</v>
      </c>
      <c r="G52" s="19">
        <v>416.67</v>
      </c>
      <c r="H52" s="19">
        <v>416.67</v>
      </c>
      <c r="I52" s="19">
        <v>416.67</v>
      </c>
      <c r="J52" s="19">
        <v>416.67</v>
      </c>
      <c r="K52" s="19">
        <v>416.67</v>
      </c>
      <c r="L52" s="19">
        <v>416.67</v>
      </c>
      <c r="M52" s="19">
        <v>416.67</v>
      </c>
      <c r="N52" s="19">
        <v>416.67</v>
      </c>
      <c r="O52" s="19">
        <v>416.67</v>
      </c>
      <c r="P52" s="19">
        <v>416.67</v>
      </c>
      <c r="Q52" s="19">
        <v>416.67</v>
      </c>
      <c r="R52" s="19">
        <v>416.67</v>
      </c>
      <c r="S52" s="19">
        <v>416.67</v>
      </c>
      <c r="T52" s="19">
        <v>416.67</v>
      </c>
      <c r="U52" s="19">
        <v>416.67</v>
      </c>
      <c r="V52" s="19">
        <v>416.67</v>
      </c>
      <c r="W52" s="19">
        <v>416.67</v>
      </c>
      <c r="X52" s="19">
        <v>416.67</v>
      </c>
      <c r="Y52" s="19">
        <v>416.67</v>
      </c>
      <c r="Z52" s="19">
        <v>416.67</v>
      </c>
      <c r="AA52" s="19">
        <v>416.67</v>
      </c>
      <c r="AB52" s="19">
        <v>416.67</v>
      </c>
      <c r="AC52" s="19">
        <v>416.67</v>
      </c>
      <c r="AD52" s="19">
        <v>416.67</v>
      </c>
      <c r="AE52" s="19">
        <v>416.67</v>
      </c>
      <c r="AF52" s="19">
        <v>416.67</v>
      </c>
      <c r="AG52" s="19">
        <v>416.67</v>
      </c>
      <c r="AH52" s="19">
        <v>416.67</v>
      </c>
      <c r="AI52" s="19">
        <v>416.67</v>
      </c>
      <c r="AJ52" s="19">
        <v>416.67</v>
      </c>
      <c r="AK52" s="19">
        <v>416.67</v>
      </c>
      <c r="AL52" s="19">
        <v>416.67</v>
      </c>
      <c r="AM52" s="19">
        <v>416.67</v>
      </c>
      <c r="AN52" s="19">
        <v>416.67</v>
      </c>
      <c r="AO52" s="19">
        <v>416.67</v>
      </c>
      <c r="AP52" s="19">
        <v>416.67</v>
      </c>
      <c r="AQ52" s="19">
        <v>416.67</v>
      </c>
      <c r="AR52" s="19">
        <v>416.67</v>
      </c>
      <c r="AS52" s="19">
        <v>416.67</v>
      </c>
      <c r="AT52" s="19">
        <v>416.67</v>
      </c>
      <c r="AU52" s="19">
        <v>416.67</v>
      </c>
      <c r="AV52" s="19">
        <v>416.67</v>
      </c>
      <c r="AW52" s="19">
        <v>416.67</v>
      </c>
      <c r="AX52" s="19">
        <v>416.67</v>
      </c>
      <c r="AY52" s="19">
        <v>416.67</v>
      </c>
      <c r="AZ52" s="19">
        <v>416.67</v>
      </c>
      <c r="BA52" s="19">
        <v>416.67</v>
      </c>
      <c r="BB52" s="19">
        <v>416.67</v>
      </c>
      <c r="BC52" s="19">
        <v>416.67</v>
      </c>
      <c r="BD52" s="19">
        <v>416.67</v>
      </c>
      <c r="BE52" s="19">
        <v>416.67</v>
      </c>
      <c r="BF52" s="19">
        <v>416.67</v>
      </c>
      <c r="BG52" s="19">
        <v>416.67</v>
      </c>
      <c r="BH52" s="19">
        <v>416.67</v>
      </c>
      <c r="BI52" s="19">
        <v>416.67</v>
      </c>
    </row>
    <row r="53" spans="1:89" s="46" customFormat="1" x14ac:dyDescent="0.25">
      <c r="A53" s="46" t="s">
        <v>150</v>
      </c>
      <c r="B53" s="19">
        <v>250</v>
      </c>
      <c r="C53" s="19">
        <v>250</v>
      </c>
      <c r="D53" s="19">
        <v>250</v>
      </c>
      <c r="E53" s="19">
        <v>250</v>
      </c>
      <c r="F53" s="19">
        <v>250</v>
      </c>
      <c r="G53" s="19">
        <v>250</v>
      </c>
      <c r="H53" s="19">
        <v>250</v>
      </c>
      <c r="I53" s="19">
        <v>250</v>
      </c>
      <c r="J53" s="19">
        <v>250</v>
      </c>
      <c r="K53" s="19">
        <v>250</v>
      </c>
      <c r="L53" s="19">
        <v>250</v>
      </c>
      <c r="M53" s="19">
        <v>250</v>
      </c>
      <c r="N53" s="19">
        <v>250</v>
      </c>
      <c r="O53" s="19">
        <v>250</v>
      </c>
      <c r="P53" s="19">
        <v>250</v>
      </c>
      <c r="Q53" s="19">
        <v>250</v>
      </c>
      <c r="R53" s="19">
        <v>250</v>
      </c>
      <c r="S53" s="19">
        <v>250</v>
      </c>
      <c r="T53" s="19">
        <v>250</v>
      </c>
      <c r="U53" s="19">
        <v>250</v>
      </c>
      <c r="V53" s="19">
        <v>250</v>
      </c>
      <c r="W53" s="19">
        <v>250</v>
      </c>
      <c r="X53" s="19">
        <v>250</v>
      </c>
      <c r="Y53" s="19">
        <v>250</v>
      </c>
      <c r="Z53" s="19">
        <v>250</v>
      </c>
      <c r="AA53" s="19">
        <v>250</v>
      </c>
      <c r="AB53" s="19">
        <v>250</v>
      </c>
      <c r="AC53" s="19">
        <v>250</v>
      </c>
      <c r="AD53" s="19">
        <v>250</v>
      </c>
      <c r="AE53" s="19">
        <v>250</v>
      </c>
      <c r="AF53" s="19">
        <v>250</v>
      </c>
      <c r="AG53" s="19">
        <v>250</v>
      </c>
      <c r="AH53" s="19">
        <v>250</v>
      </c>
      <c r="AI53" s="19">
        <v>250</v>
      </c>
      <c r="AJ53" s="19">
        <v>250</v>
      </c>
      <c r="AK53" s="19">
        <v>250</v>
      </c>
      <c r="AL53" s="19">
        <v>250</v>
      </c>
      <c r="AM53" s="19">
        <v>250</v>
      </c>
      <c r="AN53" s="19">
        <v>250</v>
      </c>
      <c r="AO53" s="19">
        <v>250</v>
      </c>
      <c r="AP53" s="19">
        <v>250</v>
      </c>
      <c r="AQ53" s="19">
        <v>250</v>
      </c>
      <c r="AR53" s="19">
        <v>250</v>
      </c>
      <c r="AS53" s="19">
        <v>250</v>
      </c>
      <c r="AT53" s="19">
        <v>250</v>
      </c>
      <c r="AU53" s="19">
        <v>250</v>
      </c>
      <c r="AV53" s="19">
        <v>250</v>
      </c>
      <c r="AW53" s="19">
        <v>250</v>
      </c>
      <c r="AX53" s="19">
        <v>250</v>
      </c>
      <c r="AY53" s="19">
        <v>250</v>
      </c>
      <c r="AZ53" s="19">
        <v>250</v>
      </c>
      <c r="BA53" s="19">
        <v>250</v>
      </c>
      <c r="BB53" s="19">
        <v>250</v>
      </c>
      <c r="BC53" s="19">
        <v>250</v>
      </c>
      <c r="BD53" s="19">
        <v>250</v>
      </c>
      <c r="BE53" s="19">
        <v>250</v>
      </c>
      <c r="BF53" s="19">
        <v>250</v>
      </c>
      <c r="BG53" s="19">
        <v>250</v>
      </c>
      <c r="BH53" s="19">
        <v>250</v>
      </c>
      <c r="BI53" s="19">
        <v>250</v>
      </c>
    </row>
    <row r="54" spans="1:89" s="56" customFormat="1" x14ac:dyDescent="0.25">
      <c r="A54" s="59" t="s">
        <v>151</v>
      </c>
      <c r="B54" s="19">
        <v>10000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19">
        <v>10000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19">
        <v>10000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19">
        <v>10000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19">
        <v>10000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</row>
    <row r="56" spans="1:89" x14ac:dyDescent="0.25">
      <c r="A56" t="s">
        <v>19</v>
      </c>
      <c r="B56" s="18">
        <v>0</v>
      </c>
    </row>
    <row r="57" spans="1:89" x14ac:dyDescent="0.25">
      <c r="A57" t="s">
        <v>20</v>
      </c>
      <c r="B57" s="18">
        <v>0.15</v>
      </c>
    </row>
    <row r="58" spans="1:89" x14ac:dyDescent="0.25">
      <c r="A58" t="s">
        <v>21</v>
      </c>
      <c r="B58" s="20">
        <v>0</v>
      </c>
    </row>
    <row r="60" spans="1:89" x14ac:dyDescent="0.25">
      <c r="B60">
        <v>1</v>
      </c>
      <c r="C60">
        <v>2</v>
      </c>
      <c r="D60">
        <v>3</v>
      </c>
      <c r="E60">
        <v>4</v>
      </c>
      <c r="F60">
        <v>5</v>
      </c>
      <c r="G60">
        <v>6</v>
      </c>
      <c r="H60">
        <v>7</v>
      </c>
      <c r="I60">
        <v>8</v>
      </c>
      <c r="J60">
        <v>9</v>
      </c>
      <c r="K60">
        <v>10</v>
      </c>
      <c r="L60">
        <v>11</v>
      </c>
      <c r="M60">
        <v>12</v>
      </c>
      <c r="N60">
        <v>13</v>
      </c>
      <c r="O60">
        <v>14</v>
      </c>
      <c r="P60">
        <v>15</v>
      </c>
      <c r="Q60">
        <v>16</v>
      </c>
      <c r="R60">
        <v>17</v>
      </c>
      <c r="S60">
        <v>18</v>
      </c>
      <c r="T60">
        <v>19</v>
      </c>
      <c r="U60">
        <v>20</v>
      </c>
      <c r="V60">
        <v>21</v>
      </c>
      <c r="W60">
        <v>22</v>
      </c>
      <c r="X60">
        <v>23</v>
      </c>
      <c r="Y60">
        <v>24</v>
      </c>
      <c r="Z60">
        <v>25</v>
      </c>
      <c r="AA60">
        <v>26</v>
      </c>
      <c r="AB60">
        <v>27</v>
      </c>
      <c r="AC60">
        <v>28</v>
      </c>
      <c r="AD60">
        <v>29</v>
      </c>
      <c r="AE60">
        <v>30</v>
      </c>
      <c r="AF60">
        <v>31</v>
      </c>
      <c r="AG60">
        <v>32</v>
      </c>
      <c r="AH60">
        <v>33</v>
      </c>
      <c r="AI60">
        <v>34</v>
      </c>
      <c r="AJ60">
        <v>35</v>
      </c>
      <c r="AK60">
        <v>36</v>
      </c>
      <c r="AL60">
        <v>37</v>
      </c>
      <c r="AM60">
        <v>38</v>
      </c>
      <c r="AN60">
        <v>39</v>
      </c>
      <c r="AO60">
        <v>40</v>
      </c>
      <c r="AP60">
        <v>41</v>
      </c>
      <c r="AQ60">
        <v>42</v>
      </c>
      <c r="AR60">
        <v>43</v>
      </c>
      <c r="AS60">
        <v>44</v>
      </c>
      <c r="AT60">
        <v>45</v>
      </c>
      <c r="AU60">
        <v>46</v>
      </c>
      <c r="AV60">
        <v>47</v>
      </c>
      <c r="AW60">
        <v>48</v>
      </c>
      <c r="AX60">
        <v>49</v>
      </c>
      <c r="AY60">
        <v>50</v>
      </c>
      <c r="AZ60">
        <v>51</v>
      </c>
      <c r="BA60">
        <v>52</v>
      </c>
      <c r="BB60">
        <v>53</v>
      </c>
      <c r="BC60">
        <v>54</v>
      </c>
      <c r="BD60">
        <v>55</v>
      </c>
      <c r="BE60">
        <v>56</v>
      </c>
      <c r="BF60">
        <v>57</v>
      </c>
      <c r="BG60">
        <v>58</v>
      </c>
      <c r="BH60">
        <v>59</v>
      </c>
      <c r="BI60">
        <v>60</v>
      </c>
    </row>
    <row r="61" spans="1:89" x14ac:dyDescent="0.25">
      <c r="A61" t="s">
        <v>160</v>
      </c>
      <c r="B61" s="3">
        <f>RevenueModule!B16</f>
        <v>40800</v>
      </c>
      <c r="C61" s="3">
        <f>RevenueModule!C16</f>
        <v>40881.640799999986</v>
      </c>
      <c r="D61" s="3">
        <f>RevenueModule!D16</f>
        <v>40963.444963240785</v>
      </c>
      <c r="E61" s="3">
        <f>RevenueModule!E16</f>
        <v>41045.41281661221</v>
      </c>
      <c r="F61" s="3">
        <f>RevenueModule!F16</f>
        <v>41127.54468765825</v>
      </c>
      <c r="G61" s="3">
        <f>RevenueModule!G16</f>
        <v>41209.840904578239</v>
      </c>
      <c r="H61" s="3">
        <f>RevenueModule!H16</f>
        <v>41292.30179622829</v>
      </c>
      <c r="I61" s="3">
        <f>RevenueModule!I16</f>
        <v>41374.927692122539</v>
      </c>
      <c r="J61" s="3">
        <f>RevenueModule!J16</f>
        <v>41457.718922434462</v>
      </c>
      <c r="K61" s="3">
        <f>RevenueModule!K16</f>
        <v>41540.67581799825</v>
      </c>
      <c r="L61" s="3">
        <f>RevenueModule!L16</f>
        <v>41623.79871031006</v>
      </c>
      <c r="M61" s="3">
        <f>RevenueModule!M16</f>
        <v>41707.087931529379</v>
      </c>
      <c r="N61" s="3">
        <f>RevenueModule!N16</f>
        <v>41790.543814480363</v>
      </c>
      <c r="O61" s="3">
        <f>RevenueModule!O16</f>
        <v>41874.166692653132</v>
      </c>
      <c r="P61" s="3">
        <f>RevenueModule!P16</f>
        <v>41957.956900205121</v>
      </c>
      <c r="Q61" s="3">
        <f>RevenueModule!Q16</f>
        <v>42041.914771962423</v>
      </c>
      <c r="R61" s="3">
        <f>RevenueModule!R16</f>
        <v>42126.040643421104</v>
      </c>
      <c r="S61" s="3">
        <f>RevenueModule!S16</f>
        <v>42210.334850748579</v>
      </c>
      <c r="T61" s="3">
        <f>RevenueModule!T16</f>
        <v>42294.797730784914</v>
      </c>
      <c r="U61" s="3">
        <f>RevenueModule!U16</f>
        <v>42379.429621044204</v>
      </c>
      <c r="V61" s="3">
        <f>RevenueModule!V16</f>
        <v>42464.230859715914</v>
      </c>
      <c r="W61" s="3">
        <f>RevenueModule!W16</f>
        <v>42549.201785666191</v>
      </c>
      <c r="X61" s="3">
        <f>RevenueModule!X16</f>
        <v>42634.3427384393</v>
      </c>
      <c r="Y61" s="3">
        <f>RevenueModule!Y16</f>
        <v>42719.654058258908</v>
      </c>
      <c r="Z61" s="3">
        <f>RevenueModule!Z16</f>
        <v>42805.136086029481</v>
      </c>
      <c r="AA61" s="3">
        <f>RevenueModule!AA16</f>
        <v>42890.78916333762</v>
      </c>
      <c r="AB61" s="3">
        <f>RevenueModule!AB16</f>
        <v>42976.613632453453</v>
      </c>
      <c r="AC61" s="3">
        <f>RevenueModule!AC16</f>
        <v>43062.609836331991</v>
      </c>
      <c r="AD61" s="3">
        <f>RevenueModule!AD16</f>
        <v>43148.778118614478</v>
      </c>
      <c r="AE61" s="3">
        <f>RevenueModule!AE16</f>
        <v>43235.118823629819</v>
      </c>
      <c r="AF61" s="3">
        <f>RevenueModule!AF16</f>
        <v>43321.632296395896</v>
      </c>
      <c r="AG61" s="3">
        <f>RevenueModule!AG16</f>
        <v>43408.318882620966</v>
      </c>
      <c r="AH61" s="3">
        <f>RevenueModule!AH16</f>
        <v>43495.178928705085</v>
      </c>
      <c r="AI61" s="3">
        <f>RevenueModule!AI16</f>
        <v>43582.212781741415</v>
      </c>
      <c r="AJ61" s="3">
        <f>RevenueModule!AJ16</f>
        <v>43669.420789517666</v>
      </c>
      <c r="AK61" s="3">
        <f>RevenueModule!AK16</f>
        <v>43756.80330051748</v>
      </c>
      <c r="AL61" s="3">
        <f>RevenueModule!AL16</f>
        <v>43844.360663921805</v>
      </c>
      <c r="AM61" s="3">
        <f>RevenueModule!AM16</f>
        <v>43932.093229610298</v>
      </c>
      <c r="AN61" s="3">
        <f>RevenueModule!AN16</f>
        <v>44020.001348162747</v>
      </c>
      <c r="AO61" s="3">
        <f>RevenueModule!AO16</f>
        <v>44108.085370860412</v>
      </c>
      <c r="AP61" s="3">
        <f>RevenueModule!AP16</f>
        <v>44196.345649687493</v>
      </c>
      <c r="AQ61" s="3">
        <f>RevenueModule!AQ16</f>
        <v>44284.782537332503</v>
      </c>
      <c r="AR61" s="3">
        <f>RevenueModule!AR16</f>
        <v>44373.396387189692</v>
      </c>
      <c r="AS61" s="3">
        <f>RevenueModule!AS16</f>
        <v>44462.187553360447</v>
      </c>
      <c r="AT61" s="3">
        <f>RevenueModule!AT16</f>
        <v>44551.156390654709</v>
      </c>
      <c r="AU61" s="3">
        <f>RevenueModule!AU16</f>
        <v>44640.3032545924</v>
      </c>
      <c r="AV61" s="3">
        <f>RevenueModule!AV16</f>
        <v>44729.628501404834</v>
      </c>
      <c r="AW61" s="3">
        <f>RevenueModule!AW16</f>
        <v>44819.132488036135</v>
      </c>
      <c r="AX61" s="3">
        <f>RevenueModule!AX16</f>
        <v>44908.815572144682</v>
      </c>
      <c r="AY61" s="3">
        <f>RevenueModule!AY16</f>
        <v>44998.678112104535</v>
      </c>
      <c r="AZ61" s="3">
        <f>RevenueModule!AZ16</f>
        <v>45088.720467006846</v>
      </c>
      <c r="BA61" s="3">
        <f>RevenueModule!BA16</f>
        <v>45178.942996661317</v>
      </c>
      <c r="BB61" s="3">
        <f>RevenueModule!BB16</f>
        <v>45269.346061597629</v>
      </c>
      <c r="BC61" s="3">
        <f>RevenueModule!BC16</f>
        <v>45359.930023066874</v>
      </c>
      <c r="BD61" s="3">
        <f>RevenueModule!BD16</f>
        <v>45450.695243043017</v>
      </c>
      <c r="BE61" s="3">
        <f>RevenueModule!BE16</f>
        <v>45541.642084224339</v>
      </c>
      <c r="BF61" s="3">
        <f>RevenueModule!BF16</f>
        <v>45632.770910034866</v>
      </c>
      <c r="BG61" s="3">
        <f>RevenueModule!BG16</f>
        <v>45724.082084625836</v>
      </c>
      <c r="BH61" s="3">
        <f>RevenueModule!BH16</f>
        <v>45815.575972877159</v>
      </c>
      <c r="BI61" s="3">
        <f>RevenueModule!BI16</f>
        <v>45907.252940398881</v>
      </c>
    </row>
    <row r="62" spans="1:89" x14ac:dyDescent="0.25">
      <c r="A62" t="s">
        <v>161</v>
      </c>
      <c r="B62" s="3">
        <f t="shared" ref="B62:AG62" si="27">B34</f>
        <v>7680</v>
      </c>
      <c r="C62" s="3">
        <f t="shared" si="27"/>
        <v>7703.0707507507495</v>
      </c>
      <c r="D62" s="3">
        <f t="shared" si="27"/>
        <v>7726.2108061291301</v>
      </c>
      <c r="E62" s="3">
        <f t="shared" si="27"/>
        <v>7749.4203743265189</v>
      </c>
      <c r="F62" s="3">
        <f t="shared" si="27"/>
        <v>7772.6996641597034</v>
      </c>
      <c r="G62" s="3">
        <f t="shared" si="27"/>
        <v>7796.0488850727588</v>
      </c>
      <c r="H62" s="3">
        <f t="shared" si="27"/>
        <v>7819.4682471389269</v>
      </c>
      <c r="I62" s="3">
        <f t="shared" si="27"/>
        <v>7842.9579610625115</v>
      </c>
      <c r="J62" s="3">
        <f t="shared" si="27"/>
        <v>7866.5182381807754</v>
      </c>
      <c r="K62" s="3">
        <f t="shared" si="27"/>
        <v>7890.149290465838</v>
      </c>
      <c r="L62" s="3">
        <f t="shared" si="27"/>
        <v>7913.8513305265869</v>
      </c>
      <c r="M62" s="3">
        <f t="shared" si="27"/>
        <v>7937.6245716105786</v>
      </c>
      <c r="N62" s="3">
        <f t="shared" si="27"/>
        <v>7961.4692276059759</v>
      </c>
      <c r="O62" s="3">
        <f t="shared" si="27"/>
        <v>7985.3855130434567</v>
      </c>
      <c r="P62" s="3">
        <f t="shared" si="27"/>
        <v>8009.3736430981544</v>
      </c>
      <c r="Q62" s="3">
        <f t="shared" si="27"/>
        <v>8033.4338335915827</v>
      </c>
      <c r="R62" s="3">
        <f t="shared" si="27"/>
        <v>8057.5663009935915</v>
      </c>
      <c r="S62" s="3">
        <f t="shared" si="27"/>
        <v>8081.7712624243004</v>
      </c>
      <c r="T62" s="3">
        <f t="shared" si="27"/>
        <v>8106.0489356560665</v>
      </c>
      <c r="U62" s="3">
        <f t="shared" si="27"/>
        <v>8130.3995391154276</v>
      </c>
      <c r="V62" s="3">
        <f t="shared" si="27"/>
        <v>8154.8232918850808</v>
      </c>
      <c r="W62" s="3">
        <f t="shared" si="27"/>
        <v>8179.3204137058474</v>
      </c>
      <c r="X62" s="3">
        <f t="shared" si="27"/>
        <v>8203.8911249786506</v>
      </c>
      <c r="Y62" s="3">
        <f t="shared" si="27"/>
        <v>8228.5356467664969</v>
      </c>
      <c r="Z62" s="3">
        <f t="shared" si="27"/>
        <v>8253.2542007964712</v>
      </c>
      <c r="AA62" s="3">
        <f t="shared" si="27"/>
        <v>8278.0470094617267</v>
      </c>
      <c r="AB62" s="3">
        <f t="shared" si="27"/>
        <v>8302.9142958234806</v>
      </c>
      <c r="AC62" s="3">
        <f t="shared" si="27"/>
        <v>8327.856283613035</v>
      </c>
      <c r="AD62" s="3">
        <f t="shared" si="27"/>
        <v>8352.8731972337755</v>
      </c>
      <c r="AE62" s="3">
        <f t="shared" si="27"/>
        <v>8377.9652617632019</v>
      </c>
      <c r="AF62" s="3">
        <f t="shared" si="27"/>
        <v>8403.1327029549429</v>
      </c>
      <c r="AG62" s="3">
        <f t="shared" si="27"/>
        <v>8428.3757472407942</v>
      </c>
      <c r="AH62" s="3">
        <f t="shared" ref="AH62:BI62" si="28">AH34</f>
        <v>8453.694621732755</v>
      </c>
      <c r="AI62" s="3">
        <f t="shared" si="28"/>
        <v>8479.0895542250673</v>
      </c>
      <c r="AJ62" s="3">
        <f t="shared" si="28"/>
        <v>8504.5607731962646</v>
      </c>
      <c r="AK62" s="3">
        <f t="shared" si="28"/>
        <v>8530.108507811241</v>
      </c>
      <c r="AL62" s="3">
        <f t="shared" si="28"/>
        <v>8555.732987923293</v>
      </c>
      <c r="AM62" s="3">
        <f t="shared" si="28"/>
        <v>8581.4344440762015</v>
      </c>
      <c r="AN62" s="3">
        <f t="shared" si="28"/>
        <v>8607.2131075063025</v>
      </c>
      <c r="AO62" s="3">
        <f t="shared" si="28"/>
        <v>8633.0692101445657</v>
      </c>
      <c r="AP62" s="3">
        <f t="shared" si="28"/>
        <v>8659.0029846186808</v>
      </c>
      <c r="AQ62" s="3">
        <f t="shared" si="28"/>
        <v>8685.0146642551554</v>
      </c>
      <c r="AR62" s="3">
        <f t="shared" si="28"/>
        <v>8711.1044830814099</v>
      </c>
      <c r="AS62" s="3">
        <f t="shared" si="28"/>
        <v>8737.2726758278804</v>
      </c>
      <c r="AT62" s="3">
        <f t="shared" si="28"/>
        <v>8763.5194779301401</v>
      </c>
      <c r="AU62" s="3">
        <f t="shared" si="28"/>
        <v>8789.8451255310047</v>
      </c>
      <c r="AV62" s="3">
        <f t="shared" si="28"/>
        <v>8816.2498554826743</v>
      </c>
      <c r="AW62" s="3">
        <f t="shared" si="28"/>
        <v>8842.7339053488413</v>
      </c>
      <c r="AX62" s="3">
        <f t="shared" si="28"/>
        <v>8869.2975134068492</v>
      </c>
      <c r="AY62" s="3">
        <f t="shared" si="28"/>
        <v>8895.9409186498251</v>
      </c>
      <c r="AZ62" s="3">
        <f t="shared" si="28"/>
        <v>8922.6643607888291</v>
      </c>
      <c r="BA62" s="3">
        <f t="shared" si="28"/>
        <v>8949.4680802550229</v>
      </c>
      <c r="BB62" s="3">
        <f t="shared" si="28"/>
        <v>8976.3523182018125</v>
      </c>
      <c r="BC62" s="3">
        <f t="shared" si="28"/>
        <v>9003.3173165070402</v>
      </c>
      <c r="BD62" s="3">
        <f t="shared" si="28"/>
        <v>9030.3633177751435</v>
      </c>
      <c r="BE62" s="3">
        <f t="shared" si="28"/>
        <v>9057.4905653393507</v>
      </c>
      <c r="BF62" s="3">
        <f t="shared" si="28"/>
        <v>9084.6993032638566</v>
      </c>
      <c r="BG62" s="3">
        <f t="shared" si="28"/>
        <v>9111.9897763460322</v>
      </c>
      <c r="BH62" s="3">
        <f t="shared" si="28"/>
        <v>9139.3622301186169</v>
      </c>
      <c r="BI62" s="3">
        <f t="shared" si="28"/>
        <v>9166.8169108519342</v>
      </c>
    </row>
    <row r="63" spans="1:89" x14ac:dyDescent="0.25">
      <c r="A63" t="s">
        <v>22</v>
      </c>
      <c r="B63" s="3">
        <f t="shared" ref="B63:AG63" si="29">B36</f>
        <v>5040</v>
      </c>
      <c r="C63" s="3">
        <f t="shared" si="29"/>
        <v>5045.0399999999991</v>
      </c>
      <c r="D63" s="3">
        <f t="shared" si="29"/>
        <v>5050.0850399999981</v>
      </c>
      <c r="E63" s="3">
        <f t="shared" si="29"/>
        <v>5055.1351250399975</v>
      </c>
      <c r="F63" s="3">
        <f t="shared" si="29"/>
        <v>5060.1902601650372</v>
      </c>
      <c r="G63" s="3">
        <f t="shared" si="29"/>
        <v>5065.250450425202</v>
      </c>
      <c r="H63" s="3">
        <f t="shared" si="29"/>
        <v>5070.3157008756261</v>
      </c>
      <c r="I63" s="3">
        <f t="shared" si="29"/>
        <v>5075.3860165765018</v>
      </c>
      <c r="J63" s="3">
        <f t="shared" si="29"/>
        <v>5080.4614025930769</v>
      </c>
      <c r="K63" s="3">
        <f t="shared" si="29"/>
        <v>5085.5418639956697</v>
      </c>
      <c r="L63" s="3">
        <f t="shared" si="29"/>
        <v>5090.6274058596646</v>
      </c>
      <c r="M63" s="3">
        <f t="shared" si="29"/>
        <v>5095.7180332655244</v>
      </c>
      <c r="N63" s="3">
        <f t="shared" si="29"/>
        <v>5222.2616977582838</v>
      </c>
      <c r="O63" s="3">
        <f t="shared" si="29"/>
        <v>5227.4839594560417</v>
      </c>
      <c r="P63" s="3">
        <f t="shared" si="29"/>
        <v>5232.7114434154973</v>
      </c>
      <c r="Q63" s="3">
        <f t="shared" si="29"/>
        <v>5237.944154858912</v>
      </c>
      <c r="R63" s="3">
        <f t="shared" si="29"/>
        <v>5243.1820990137703</v>
      </c>
      <c r="S63" s="3">
        <f t="shared" si="29"/>
        <v>5248.4252811127826</v>
      </c>
      <c r="T63" s="3">
        <f t="shared" si="29"/>
        <v>5253.6737063938954</v>
      </c>
      <c r="U63" s="3">
        <f t="shared" si="29"/>
        <v>5258.9273801002882</v>
      </c>
      <c r="V63" s="3">
        <f t="shared" si="29"/>
        <v>5264.1863074803887</v>
      </c>
      <c r="W63" s="3">
        <f t="shared" si="29"/>
        <v>5269.4504937878683</v>
      </c>
      <c r="X63" s="3">
        <f t="shared" si="29"/>
        <v>5274.7199442816554</v>
      </c>
      <c r="Y63" s="3">
        <f t="shared" si="29"/>
        <v>5279.9946642259365</v>
      </c>
      <c r="Z63" s="3">
        <f t="shared" si="29"/>
        <v>5408.1880230503994</v>
      </c>
      <c r="AA63" s="3">
        <f t="shared" si="29"/>
        <v>5413.596211073449</v>
      </c>
      <c r="AB63" s="3">
        <f t="shared" si="29"/>
        <v>5419.0098072845221</v>
      </c>
      <c r="AC63" s="3">
        <f t="shared" si="29"/>
        <v>5424.4288170918071</v>
      </c>
      <c r="AD63" s="3">
        <f t="shared" si="29"/>
        <v>5429.8532459088974</v>
      </c>
      <c r="AE63" s="3">
        <f t="shared" si="29"/>
        <v>5435.2830991548062</v>
      </c>
      <c r="AF63" s="3">
        <f t="shared" si="29"/>
        <v>5440.71838225396</v>
      </c>
      <c r="AG63" s="3">
        <f t="shared" si="29"/>
        <v>5446.1591006362132</v>
      </c>
      <c r="AH63" s="3">
        <f t="shared" ref="AH63:BI63" si="30">AH36</f>
        <v>5451.6052597368489</v>
      </c>
      <c r="AI63" s="3">
        <f t="shared" si="30"/>
        <v>5457.0568649965853</v>
      </c>
      <c r="AJ63" s="3">
        <f t="shared" si="30"/>
        <v>5462.5139218615814</v>
      </c>
      <c r="AK63" s="3">
        <f t="shared" si="30"/>
        <v>5467.976435783442</v>
      </c>
      <c r="AL63" s="3">
        <f t="shared" si="30"/>
        <v>5597.8408761332976</v>
      </c>
      <c r="AM63" s="3">
        <f t="shared" si="30"/>
        <v>5603.4387170094305</v>
      </c>
      <c r="AN63" s="3">
        <f t="shared" si="30"/>
        <v>5609.042155726439</v>
      </c>
      <c r="AO63" s="3">
        <f t="shared" si="30"/>
        <v>5614.6511978821654</v>
      </c>
      <c r="AP63" s="3">
        <f t="shared" si="30"/>
        <v>5620.2658490800468</v>
      </c>
      <c r="AQ63" s="3">
        <f t="shared" si="30"/>
        <v>5625.8861149291261</v>
      </c>
      <c r="AR63" s="3">
        <f t="shared" si="30"/>
        <v>5631.5120010440542</v>
      </c>
      <c r="AS63" s="3">
        <f t="shared" si="30"/>
        <v>5637.1435130450973</v>
      </c>
      <c r="AT63" s="3">
        <f t="shared" si="30"/>
        <v>5642.7806565581413</v>
      </c>
      <c r="AU63" s="3">
        <f t="shared" si="30"/>
        <v>5648.4234372146993</v>
      </c>
      <c r="AV63" s="3">
        <f t="shared" si="30"/>
        <v>5654.0718606519131</v>
      </c>
      <c r="AW63" s="3">
        <f t="shared" si="30"/>
        <v>5659.7259325125642</v>
      </c>
      <c r="AX63" s="3">
        <f t="shared" si="30"/>
        <v>5791.2831175216334</v>
      </c>
      <c r="AY63" s="3">
        <f t="shared" si="30"/>
        <v>5797.0744006391551</v>
      </c>
      <c r="AZ63" s="3">
        <f t="shared" si="30"/>
        <v>5802.871475039793</v>
      </c>
      <c r="BA63" s="3">
        <f t="shared" si="30"/>
        <v>5808.6743465148329</v>
      </c>
      <c r="BB63" s="3">
        <f t="shared" si="30"/>
        <v>5814.4830208613466</v>
      </c>
      <c r="BC63" s="3">
        <f t="shared" si="30"/>
        <v>5820.2975038822069</v>
      </c>
      <c r="BD63" s="3">
        <f t="shared" si="30"/>
        <v>5826.117801386089</v>
      </c>
      <c r="BE63" s="3">
        <f t="shared" si="30"/>
        <v>5831.9439191874744</v>
      </c>
      <c r="BF63" s="3">
        <f t="shared" si="30"/>
        <v>5837.7758631066617</v>
      </c>
      <c r="BG63" s="3">
        <f t="shared" si="30"/>
        <v>5843.6136389697676</v>
      </c>
      <c r="BH63" s="3">
        <f t="shared" si="30"/>
        <v>5849.4572526087368</v>
      </c>
      <c r="BI63" s="3">
        <f t="shared" si="30"/>
        <v>5855.3067098613456</v>
      </c>
    </row>
    <row r="64" spans="1:89" x14ac:dyDescent="0.25">
      <c r="A64" t="s">
        <v>23</v>
      </c>
      <c r="B64" s="3">
        <f t="shared" ref="B64:AK64" si="31">B62+B63</f>
        <v>12720</v>
      </c>
      <c r="C64" s="3">
        <f t="shared" si="31"/>
        <v>12748.110750750748</v>
      </c>
      <c r="D64" s="3">
        <f t="shared" si="31"/>
        <v>12776.295846129127</v>
      </c>
      <c r="E64" s="3">
        <f t="shared" si="31"/>
        <v>12804.555499366517</v>
      </c>
      <c r="F64" s="3">
        <f t="shared" si="31"/>
        <v>12832.88992432474</v>
      </c>
      <c r="G64" s="3">
        <f t="shared" si="31"/>
        <v>12861.299335497961</v>
      </c>
      <c r="H64" s="3">
        <f t="shared" si="31"/>
        <v>12889.783948014552</v>
      </c>
      <c r="I64" s="3">
        <f t="shared" si="31"/>
        <v>12918.343977639013</v>
      </c>
      <c r="J64" s="3">
        <f t="shared" si="31"/>
        <v>12946.979640773852</v>
      </c>
      <c r="K64" s="3">
        <f t="shared" si="31"/>
        <v>12975.691154461507</v>
      </c>
      <c r="L64" s="3">
        <f t="shared" si="31"/>
        <v>13004.478736386252</v>
      </c>
      <c r="M64" s="3">
        <f t="shared" si="31"/>
        <v>13033.342604876103</v>
      </c>
      <c r="N64" s="3">
        <f t="shared" si="31"/>
        <v>13183.73092536426</v>
      </c>
      <c r="O64" s="3">
        <f t="shared" si="31"/>
        <v>13212.869472499498</v>
      </c>
      <c r="P64" s="3">
        <f t="shared" si="31"/>
        <v>13242.085086513653</v>
      </c>
      <c r="Q64" s="3">
        <f t="shared" si="31"/>
        <v>13271.377988450495</v>
      </c>
      <c r="R64" s="3">
        <f t="shared" si="31"/>
        <v>13300.748400007362</v>
      </c>
      <c r="S64" s="3">
        <f t="shared" si="31"/>
        <v>13330.196543537084</v>
      </c>
      <c r="T64" s="3">
        <f t="shared" si="31"/>
        <v>13359.722642049961</v>
      </c>
      <c r="U64" s="3">
        <f t="shared" si="31"/>
        <v>13389.326919215717</v>
      </c>
      <c r="V64" s="3">
        <f t="shared" si="31"/>
        <v>13419.009599365469</v>
      </c>
      <c r="W64" s="3">
        <f t="shared" si="31"/>
        <v>13448.770907493716</v>
      </c>
      <c r="X64" s="3">
        <f t="shared" si="31"/>
        <v>13478.611069260307</v>
      </c>
      <c r="Y64" s="3">
        <f t="shared" si="31"/>
        <v>13508.530310992433</v>
      </c>
      <c r="Z64" s="3">
        <f t="shared" si="31"/>
        <v>13661.442223846871</v>
      </c>
      <c r="AA64" s="3">
        <f t="shared" si="31"/>
        <v>13691.643220535176</v>
      </c>
      <c r="AB64" s="3">
        <f t="shared" si="31"/>
        <v>13721.924103108002</v>
      </c>
      <c r="AC64" s="3">
        <f t="shared" si="31"/>
        <v>13752.285100704841</v>
      </c>
      <c r="AD64" s="3">
        <f t="shared" si="31"/>
        <v>13782.726443142674</v>
      </c>
      <c r="AE64" s="3">
        <f t="shared" si="31"/>
        <v>13813.248360918009</v>
      </c>
      <c r="AF64" s="3">
        <f t="shared" si="31"/>
        <v>13843.851085208902</v>
      </c>
      <c r="AG64" s="3">
        <f t="shared" si="31"/>
        <v>13874.534847877007</v>
      </c>
      <c r="AH64" s="3">
        <f t="shared" si="31"/>
        <v>13905.299881469604</v>
      </c>
      <c r="AI64" s="3">
        <f t="shared" si="31"/>
        <v>13936.146419221652</v>
      </c>
      <c r="AJ64" s="3">
        <f t="shared" si="31"/>
        <v>13967.074695057847</v>
      </c>
      <c r="AK64" s="3">
        <f t="shared" si="31"/>
        <v>13998.084943594684</v>
      </c>
      <c r="AL64" s="3">
        <f t="shared" ref="AL64:BI64" si="32">AL62+AL63</f>
        <v>14153.573864056591</v>
      </c>
      <c r="AM64" s="3">
        <f t="shared" si="32"/>
        <v>14184.873161085632</v>
      </c>
      <c r="AN64" s="3">
        <f t="shared" si="32"/>
        <v>14216.255263232742</v>
      </c>
      <c r="AO64" s="3">
        <f t="shared" si="32"/>
        <v>14247.720408026731</v>
      </c>
      <c r="AP64" s="3">
        <f t="shared" si="32"/>
        <v>14279.268833698727</v>
      </c>
      <c r="AQ64" s="3">
        <f t="shared" si="32"/>
        <v>14310.900779184281</v>
      </c>
      <c r="AR64" s="3">
        <f t="shared" si="32"/>
        <v>14342.616484125465</v>
      </c>
      <c r="AS64" s="3">
        <f t="shared" si="32"/>
        <v>14374.416188872978</v>
      </c>
      <c r="AT64" s="3">
        <f t="shared" si="32"/>
        <v>14406.300134488281</v>
      </c>
      <c r="AU64" s="3">
        <f t="shared" si="32"/>
        <v>14438.268562745703</v>
      </c>
      <c r="AV64" s="3">
        <f t="shared" si="32"/>
        <v>14470.321716134587</v>
      </c>
      <c r="AW64" s="3">
        <f t="shared" si="32"/>
        <v>14502.459837861406</v>
      </c>
      <c r="AX64" s="3">
        <f t="shared" si="32"/>
        <v>14660.580630928482</v>
      </c>
      <c r="AY64" s="3">
        <f t="shared" si="32"/>
        <v>14693.015319288981</v>
      </c>
      <c r="AZ64" s="3">
        <f t="shared" si="32"/>
        <v>14725.535835828621</v>
      </c>
      <c r="BA64" s="3">
        <f t="shared" si="32"/>
        <v>14758.142426769857</v>
      </c>
      <c r="BB64" s="3">
        <f t="shared" si="32"/>
        <v>14790.83533906316</v>
      </c>
      <c r="BC64" s="3">
        <f t="shared" si="32"/>
        <v>14823.614820389248</v>
      </c>
      <c r="BD64" s="3">
        <f t="shared" si="32"/>
        <v>14856.481119161232</v>
      </c>
      <c r="BE64" s="3">
        <f t="shared" si="32"/>
        <v>14889.434484526824</v>
      </c>
      <c r="BF64" s="3">
        <f t="shared" si="32"/>
        <v>14922.475166370517</v>
      </c>
      <c r="BG64" s="3">
        <f t="shared" si="32"/>
        <v>14955.6034153158</v>
      </c>
      <c r="BH64" s="3">
        <f t="shared" si="32"/>
        <v>14988.819482727355</v>
      </c>
      <c r="BI64" s="3">
        <f t="shared" si="32"/>
        <v>15022.123620713279</v>
      </c>
    </row>
    <row r="65" spans="1:61" x14ac:dyDescent="0.25">
      <c r="A65" t="s">
        <v>24</v>
      </c>
      <c r="B65" s="3">
        <f>IF(AND(E19&lt;=B60,E19+(C19*12)&gt;B60),((B19-D19)/C19)/12,0)+IF(AND(E22&lt;=B60,E22+(C22*12)&gt;B60),((B22-D22)/C22)/12,0)</f>
        <v>2625</v>
      </c>
      <c r="C65" s="3">
        <f>IF(AND(E19&lt;=C60,E19+(C19*12)&gt;C60),((B19-D19)/C19)/12,0)+IF(AND(E22&lt;=C60,E22+(C22*12)&gt;C60),((B22-D22)/C22)/12,0)</f>
        <v>2625</v>
      </c>
      <c r="D65" s="3">
        <f>IF(AND(E19&lt;=D60,E19+(C19*12)&gt;D60),((B19-D19)/C19)/12,0)+IF(AND(E22&lt;=D60,E22+(C22*12)&gt;D60),((B22-D22)/C22)/12,0)</f>
        <v>2625</v>
      </c>
      <c r="E65" s="3">
        <f>IF(AND(E19&lt;=E60,E19+(C19*12)&gt;E60),((B19-D19)/C19)/12,0)+IF(AND(E22&lt;=E60,E22+(C22*12)&gt;E60),((B22-D22)/C22)/12,0)</f>
        <v>2625</v>
      </c>
      <c r="F65" s="3">
        <f>IF(AND(E19&lt;=F60,E19+(C19*12)&gt;F60),((B19-D19)/C19)/12,0)+IF(AND(E22&lt;=F60,E22+(C22*12)&gt;F60),((B22-D22)/C22)/12,0)</f>
        <v>2625</v>
      </c>
      <c r="G65" s="3">
        <f>IF(AND(E19&lt;=G60,E19+(C19*12)&gt;G60),((B19-D19)/C19)/12,0)+IF(AND(E22&lt;=G60,E22+(C22*12)&gt;G60),((B22-D22)/C22)/12,0)</f>
        <v>2625</v>
      </c>
      <c r="H65" s="3">
        <f>IF(AND(E19&lt;=H60,E19+(C19*12)&gt;H60),((B19-D19)/C19)/12,0)+IF(AND(E22&lt;=H60,E22+(C22*12)&gt;H60),((B22-D22)/C22)/12,0)</f>
        <v>2625</v>
      </c>
      <c r="I65" s="3">
        <f>IF(AND(E19&lt;=I60,E19+(C19*12)&gt;I60),((B19-D19)/C19)/12,0)+IF(AND(E22&lt;=I60,E22+(C22*12)&gt;I60),((B22-D22)/C22)/12,0)</f>
        <v>2625</v>
      </c>
      <c r="J65" s="3">
        <f>IF(AND(E19&lt;=J60,E19+(C19*12)&gt;J60),((B19-D19)/C19)/12,0)+IF(AND(E22&lt;=J60,E22+(C22*12)&gt;J60),((B22-D22)/C22)/12,0)</f>
        <v>2625</v>
      </c>
      <c r="K65" s="3">
        <f>IF(AND(E19&lt;=K60,E19+(C19*12)&gt;K60),((B19-D19)/C19)/12,0)+IF(AND(E22&lt;=K60,E22+(C22*12)&gt;K60),((B22-D22)/C22)/12,0)</f>
        <v>2625</v>
      </c>
      <c r="L65" s="3">
        <f>IF(AND(E19&lt;=L60,E19+(C19*12)&gt;L60),((B19-D19)/C19)/12,0)+IF(AND(E22&lt;=L60,E22+(C22*12)&gt;L60),((B22-D22)/C22)/12,0)</f>
        <v>2625</v>
      </c>
      <c r="M65" s="3">
        <f>IF(AND(E19&lt;=M60,E19+(C19*12)&gt;M60),((B19-D19)/C19)/12,0)+IF(AND(E22&lt;=M60,E22+(C22*12)&gt;M60),((B22-D22)/C22)/12,0)</f>
        <v>2625</v>
      </c>
      <c r="N65" s="3">
        <f>IF(AND(E19&lt;=N60,E19+(C19*12)&gt;N60),((B19-D19)/C19)/12,0)+IF(AND(E22&lt;=N60,E22+(C22*12)&gt;N60),((B22-D22)/C22)/12,0)</f>
        <v>2625</v>
      </c>
      <c r="O65" s="3">
        <f>IF(AND(E19&lt;=O60,E19+(C19*12)&gt;O60),((B19-D19)/C19)/12,0)+IF(AND(E22&lt;=O60,E22+(C22*12)&gt;O60),((B22-D22)/C22)/12,0)</f>
        <v>2625</v>
      </c>
      <c r="P65" s="3">
        <f>IF(AND(E19&lt;=P60,E19+(C19*12)&gt;P60),((B19-D19)/C19)/12,0)+IF(AND(E22&lt;=P60,E22+(C22*12)&gt;P60),((B22-D22)/C22)/12,0)</f>
        <v>2625</v>
      </c>
      <c r="Q65" s="3">
        <f>IF(AND(E19&lt;=Q60,E19+(C19*12)&gt;Q60),((B19-D19)/C19)/12,0)+IF(AND(E22&lt;=Q60,E22+(C22*12)&gt;Q60),((B22-D22)/C22)/12,0)</f>
        <v>2625</v>
      </c>
      <c r="R65" s="3">
        <f>IF(AND(E19&lt;=R60,E19+(C19*12)&gt;R60),((B19-D19)/C19)/12,0)+IF(AND(E22&lt;=R60,E22+(C22*12)&gt;R60),((B22-D22)/C22)/12,0)</f>
        <v>2625</v>
      </c>
      <c r="S65" s="3">
        <f>IF(AND(E19&lt;=S60,E19+(C19*12)&gt;S60),((B19-D19)/C19)/12,0)+IF(AND(E22&lt;=S60,E22+(C22*12)&gt;S60),((B22-D22)/C22)/12,0)</f>
        <v>2625</v>
      </c>
      <c r="T65" s="3">
        <f>IF(AND(E19&lt;=T60,E19+(C19*12)&gt;T60),((B19-D19)/C19)/12,0)+IF(AND(E22&lt;=T60,E22+(C22*12)&gt;T60),((B22-D22)/C22)/12,0)</f>
        <v>2625</v>
      </c>
      <c r="U65" s="3">
        <f>IF(AND(E19&lt;=U60,E19+(C19*12)&gt;U60),((B19-D19)/C19)/12,0)+IF(AND(E22&lt;=U60,E22+(C22*12)&gt;U60),((B22-D22)/C22)/12,0)</f>
        <v>2625</v>
      </c>
      <c r="V65" s="3">
        <f>IF(AND(E19&lt;=V60,E19+(C19*12)&gt;V60),((B19-D19)/C19)/12,0)+IF(AND(E22&lt;=V60,E22+(C22*12)&gt;V60),((B22-D22)/C22)/12,0)</f>
        <v>2625</v>
      </c>
      <c r="W65" s="3">
        <f>IF(AND(E19&lt;=W60,E19+(C19*12)&gt;W60),((B19-D19)/C19)/12,0)+IF(AND(E22&lt;=W60,E22+(C22*12)&gt;W60),((B22-D22)/C22)/12,0)</f>
        <v>2625</v>
      </c>
      <c r="X65" s="3">
        <f>IF(AND(E19&lt;=X60,E19+(C19*12)&gt;X60),((B19-D19)/C19)/12,0)+IF(AND(E22&lt;=X60,E22+(C22*12)&gt;X60),((B22-D22)/C22)/12,0)</f>
        <v>2625</v>
      </c>
      <c r="Y65" s="3">
        <f>IF(AND(E19&lt;=Y60,E19+(C19*12)&gt;Y60),((B19-D19)/C19)/12,0)+IF(AND(E22&lt;=Y60,E22+(C22*12)&gt;Y60),((B22-D22)/C22)/12,0)</f>
        <v>2625</v>
      </c>
      <c r="Z65" s="3">
        <f>IF(AND(E19&lt;=Z60,E19+(C19*12)&gt;Z60),((B19-D19)/C19)/12,0)+IF(AND(E22&lt;=Z60,E22+(C22*12)&gt;Z60),((B22-D22)/C22)/12,0)</f>
        <v>2625</v>
      </c>
      <c r="AA65" s="3">
        <f>IF(AND(E19&lt;=AA60,E19+(C19*12)&gt;AA60),((B19-D19)/C19)/12,0)+IF(AND(E22&lt;=AA60,E22+(C22*12)&gt;AA60),((B22-D22)/C22)/12,0)</f>
        <v>2625</v>
      </c>
      <c r="AB65" s="3">
        <f>IF(AND(E19&lt;=AB60,E19+(C19*12)&gt;AB60),((B19-D19)/C19)/12,0)+IF(AND(E22&lt;=AB60,E22+(C22*12)&gt;AB60),((B22-D22)/C22)/12,0)</f>
        <v>2625</v>
      </c>
      <c r="AC65" s="3">
        <f>IF(AND(E19&lt;=AC60,E19+(C19*12)&gt;AC60),((B19-D19)/C19)/12,0)+IF(AND(E22&lt;=AC60,E22+(C22*12)&gt;AC60),((B22-D22)/C22)/12,0)</f>
        <v>2625</v>
      </c>
      <c r="AD65" s="3">
        <f>IF(AND(E19&lt;=AD60,E19+(C19*12)&gt;AD60),((B19-D19)/C19)/12,0)+IF(AND(E22&lt;=AD60,E22+(C22*12)&gt;AD60),((B22-D22)/C22)/12,0)</f>
        <v>2625</v>
      </c>
      <c r="AE65" s="3">
        <f>IF(AND(E19&lt;=AE60,E19+(C19*12)&gt;AE60),((B19-D19)/C19)/12,0)+IF(AND(E22&lt;=AE60,E22+(C22*12)&gt;AE60),((B22-D22)/C22)/12,0)</f>
        <v>2625</v>
      </c>
      <c r="AF65" s="3">
        <f>IF(AND(E19&lt;=AF60,E19+(C19*12)&gt;AF60),((B19-D19)/C19)/12,0)+IF(AND(E22&lt;=AF60,E22+(C22*12)&gt;AF60),((B22-D22)/C22)/12,0)</f>
        <v>2625</v>
      </c>
      <c r="AG65" s="3">
        <f>IF(AND(E19&lt;=AG60,E19+(C19*12)&gt;AG60),((B19-D19)/C19)/12,0)+IF(AND(E22&lt;=AG60,E22+(C22*12)&gt;AG60),((B22-D22)/C22)/12,0)</f>
        <v>2625</v>
      </c>
      <c r="AH65" s="3">
        <f>IF(AND(E19&lt;=AH60,E19+(C19*12)&gt;AH60),((B19-D19)/C19)/12,0)+IF(AND(E22&lt;=AH60,E22+(C22*12)&gt;AH60),((B22-D22)/C22)/12,0)</f>
        <v>2625</v>
      </c>
      <c r="AI65" s="3">
        <f>IF(AND(E19&lt;=AI60,E19+(C19*12)&gt;AI60),((B19-D19)/C19)/12,0)+IF(AND(E22&lt;=AI60,E22+(C22*12)&gt;AI60),((B22-D22)/C22)/12,0)</f>
        <v>2625</v>
      </c>
      <c r="AJ65" s="3">
        <f>IF(AND(E19&lt;=AJ60,E19+(C19*12)&gt;AJ60),((B19-D19)/C19)/12,0)+IF(AND(E22&lt;=AJ60,E22+(C22*12)&gt;AJ60),((B22-D22)/C22)/12,0)</f>
        <v>2625</v>
      </c>
      <c r="AK65" s="3">
        <f>IF(AND($E$19&lt;=AK60,$E$19+($C$19*12)&gt;AK60),(($B$19-$D$19)/$C$19)/12,0)+IF(AND($E$22&lt;=AK60,$E$22+($C$22*12)&gt;AK60),(($B$22-$D$22)/$C$22)/12,0)</f>
        <v>2625</v>
      </c>
      <c r="AL65" s="3">
        <f t="shared" ref="AL65:BI65" si="33">IF(AND($E$19&lt;=AL60,$E$19+($C$19*12)&gt;AL60),(($B$19-$D$19)/$C$19)/12,0)+IF(AND($E$22&lt;=AL60,$E$22+($C$22*12)&gt;AL60),(($B$22-$D$22)/$C$22)/12,0)</f>
        <v>2625</v>
      </c>
      <c r="AM65" s="3">
        <f t="shared" si="33"/>
        <v>2625</v>
      </c>
      <c r="AN65" s="3">
        <f t="shared" si="33"/>
        <v>2625</v>
      </c>
      <c r="AO65" s="3">
        <f t="shared" si="33"/>
        <v>2625</v>
      </c>
      <c r="AP65" s="3">
        <f t="shared" si="33"/>
        <v>2625</v>
      </c>
      <c r="AQ65" s="3">
        <f t="shared" si="33"/>
        <v>2625</v>
      </c>
      <c r="AR65" s="3">
        <f t="shared" si="33"/>
        <v>2625</v>
      </c>
      <c r="AS65" s="3">
        <f t="shared" si="33"/>
        <v>2625</v>
      </c>
      <c r="AT65" s="3">
        <f t="shared" si="33"/>
        <v>2625</v>
      </c>
      <c r="AU65" s="3">
        <f t="shared" si="33"/>
        <v>2625</v>
      </c>
      <c r="AV65" s="3">
        <f t="shared" si="33"/>
        <v>2625</v>
      </c>
      <c r="AW65" s="3">
        <f t="shared" si="33"/>
        <v>2625</v>
      </c>
      <c r="AX65" s="3">
        <f t="shared" si="33"/>
        <v>2625</v>
      </c>
      <c r="AY65" s="3">
        <f t="shared" si="33"/>
        <v>2625</v>
      </c>
      <c r="AZ65" s="3">
        <f t="shared" si="33"/>
        <v>2625</v>
      </c>
      <c r="BA65" s="3">
        <f t="shared" si="33"/>
        <v>2625</v>
      </c>
      <c r="BB65" s="3">
        <f t="shared" si="33"/>
        <v>2625</v>
      </c>
      <c r="BC65" s="3">
        <f t="shared" si="33"/>
        <v>2625</v>
      </c>
      <c r="BD65" s="3">
        <f t="shared" si="33"/>
        <v>2625</v>
      </c>
      <c r="BE65" s="3">
        <f t="shared" si="33"/>
        <v>2625</v>
      </c>
      <c r="BF65" s="3">
        <f t="shared" si="33"/>
        <v>2625</v>
      </c>
      <c r="BG65" s="3">
        <f t="shared" si="33"/>
        <v>2625</v>
      </c>
      <c r="BH65" s="3">
        <f t="shared" si="33"/>
        <v>2625</v>
      </c>
      <c r="BI65" s="3">
        <f t="shared" si="33"/>
        <v>2625</v>
      </c>
    </row>
    <row r="66" spans="1:61" x14ac:dyDescent="0.25">
      <c r="A66" t="str">
        <f>SUBSTITUTE(A26," Days to Get Paid","",1)</f>
        <v>Sales</v>
      </c>
      <c r="B66" s="3">
        <f>B61</f>
        <v>40800</v>
      </c>
      <c r="C66" s="3">
        <f t="shared" ref="C66:BI66" si="34">C61</f>
        <v>40881.640799999986</v>
      </c>
      <c r="D66" s="3">
        <f t="shared" si="34"/>
        <v>40963.444963240785</v>
      </c>
      <c r="E66" s="3">
        <f t="shared" si="34"/>
        <v>41045.41281661221</v>
      </c>
      <c r="F66" s="3">
        <f t="shared" si="34"/>
        <v>41127.54468765825</v>
      </c>
      <c r="G66" s="3">
        <f t="shared" si="34"/>
        <v>41209.840904578239</v>
      </c>
      <c r="H66" s="3">
        <f t="shared" si="34"/>
        <v>41292.30179622829</v>
      </c>
      <c r="I66" s="3">
        <f t="shared" si="34"/>
        <v>41374.927692122539</v>
      </c>
      <c r="J66" s="3">
        <f t="shared" si="34"/>
        <v>41457.718922434462</v>
      </c>
      <c r="K66" s="3">
        <f t="shared" si="34"/>
        <v>41540.67581799825</v>
      </c>
      <c r="L66" s="3">
        <f t="shared" si="34"/>
        <v>41623.79871031006</v>
      </c>
      <c r="M66" s="3">
        <f t="shared" si="34"/>
        <v>41707.087931529379</v>
      </c>
      <c r="N66" s="3">
        <f t="shared" si="34"/>
        <v>41790.543814480363</v>
      </c>
      <c r="O66" s="3">
        <f t="shared" si="34"/>
        <v>41874.166692653132</v>
      </c>
      <c r="P66" s="3">
        <f t="shared" si="34"/>
        <v>41957.956900205121</v>
      </c>
      <c r="Q66" s="3">
        <f t="shared" si="34"/>
        <v>42041.914771962423</v>
      </c>
      <c r="R66" s="3">
        <f t="shared" si="34"/>
        <v>42126.040643421104</v>
      </c>
      <c r="S66" s="3">
        <f t="shared" si="34"/>
        <v>42210.334850748579</v>
      </c>
      <c r="T66" s="3">
        <f t="shared" si="34"/>
        <v>42294.797730784914</v>
      </c>
      <c r="U66" s="3">
        <f t="shared" si="34"/>
        <v>42379.429621044204</v>
      </c>
      <c r="V66" s="3">
        <f t="shared" si="34"/>
        <v>42464.230859715914</v>
      </c>
      <c r="W66" s="3">
        <f t="shared" si="34"/>
        <v>42549.201785666191</v>
      </c>
      <c r="X66" s="3">
        <f t="shared" si="34"/>
        <v>42634.3427384393</v>
      </c>
      <c r="Y66" s="3">
        <f t="shared" si="34"/>
        <v>42719.654058258908</v>
      </c>
      <c r="Z66" s="3">
        <f t="shared" si="34"/>
        <v>42805.136086029481</v>
      </c>
      <c r="AA66" s="3">
        <f t="shared" si="34"/>
        <v>42890.78916333762</v>
      </c>
      <c r="AB66" s="3">
        <f t="shared" si="34"/>
        <v>42976.613632453453</v>
      </c>
      <c r="AC66" s="3">
        <f t="shared" si="34"/>
        <v>43062.609836331991</v>
      </c>
      <c r="AD66" s="3">
        <f t="shared" si="34"/>
        <v>43148.778118614478</v>
      </c>
      <c r="AE66" s="3">
        <f t="shared" si="34"/>
        <v>43235.118823629819</v>
      </c>
      <c r="AF66" s="3">
        <f t="shared" si="34"/>
        <v>43321.632296395896</v>
      </c>
      <c r="AG66" s="3">
        <f t="shared" si="34"/>
        <v>43408.318882620966</v>
      </c>
      <c r="AH66" s="3">
        <f t="shared" si="34"/>
        <v>43495.178928705085</v>
      </c>
      <c r="AI66" s="3">
        <f t="shared" si="34"/>
        <v>43582.212781741415</v>
      </c>
      <c r="AJ66" s="3">
        <f t="shared" si="34"/>
        <v>43669.420789517666</v>
      </c>
      <c r="AK66" s="3">
        <f t="shared" si="34"/>
        <v>43756.80330051748</v>
      </c>
      <c r="AL66" s="3">
        <f t="shared" si="34"/>
        <v>43844.360663921805</v>
      </c>
      <c r="AM66" s="3">
        <f t="shared" si="34"/>
        <v>43932.093229610298</v>
      </c>
      <c r="AN66" s="3">
        <f t="shared" si="34"/>
        <v>44020.001348162747</v>
      </c>
      <c r="AO66" s="3">
        <f t="shared" si="34"/>
        <v>44108.085370860412</v>
      </c>
      <c r="AP66" s="3">
        <f t="shared" si="34"/>
        <v>44196.345649687493</v>
      </c>
      <c r="AQ66" s="3">
        <f t="shared" si="34"/>
        <v>44284.782537332503</v>
      </c>
      <c r="AR66" s="3">
        <f t="shared" si="34"/>
        <v>44373.396387189692</v>
      </c>
      <c r="AS66" s="3">
        <f t="shared" si="34"/>
        <v>44462.187553360447</v>
      </c>
      <c r="AT66" s="3">
        <f t="shared" si="34"/>
        <v>44551.156390654709</v>
      </c>
      <c r="AU66" s="3">
        <f t="shared" si="34"/>
        <v>44640.3032545924</v>
      </c>
      <c r="AV66" s="3">
        <f t="shared" si="34"/>
        <v>44729.628501404834</v>
      </c>
      <c r="AW66" s="3">
        <f t="shared" si="34"/>
        <v>44819.132488036135</v>
      </c>
      <c r="AX66" s="3">
        <f t="shared" si="34"/>
        <v>44908.815572144682</v>
      </c>
      <c r="AY66" s="3">
        <f t="shared" si="34"/>
        <v>44998.678112104535</v>
      </c>
      <c r="AZ66" s="3">
        <f t="shared" si="34"/>
        <v>45088.720467006846</v>
      </c>
      <c r="BA66" s="3">
        <f t="shared" si="34"/>
        <v>45178.942996661317</v>
      </c>
      <c r="BB66" s="3">
        <f t="shared" si="34"/>
        <v>45269.346061597629</v>
      </c>
      <c r="BC66" s="3">
        <f t="shared" si="34"/>
        <v>45359.930023066874</v>
      </c>
      <c r="BD66" s="3">
        <f t="shared" si="34"/>
        <v>45450.695243043017</v>
      </c>
      <c r="BE66" s="3">
        <f t="shared" si="34"/>
        <v>45541.642084224339</v>
      </c>
      <c r="BF66" s="3">
        <f t="shared" si="34"/>
        <v>45632.770910034866</v>
      </c>
      <c r="BG66" s="3">
        <f t="shared" si="34"/>
        <v>45724.082084625836</v>
      </c>
      <c r="BH66" s="3">
        <f t="shared" si="34"/>
        <v>45815.575972877159</v>
      </c>
      <c r="BI66" s="3">
        <f t="shared" si="34"/>
        <v>45907.252940398881</v>
      </c>
    </row>
    <row r="67" spans="1:61" x14ac:dyDescent="0.25">
      <c r="A67" t="s">
        <v>162</v>
      </c>
      <c r="B67" s="3">
        <f t="shared" ref="B67:AK67" si="35">SUM(B66:B66)</f>
        <v>40800</v>
      </c>
      <c r="C67" s="3">
        <f t="shared" si="35"/>
        <v>40881.640799999986</v>
      </c>
      <c r="D67" s="3">
        <f t="shared" si="35"/>
        <v>40963.444963240785</v>
      </c>
      <c r="E67" s="3">
        <f t="shared" si="35"/>
        <v>41045.41281661221</v>
      </c>
      <c r="F67" s="3">
        <f t="shared" si="35"/>
        <v>41127.54468765825</v>
      </c>
      <c r="G67" s="3">
        <f t="shared" si="35"/>
        <v>41209.840904578239</v>
      </c>
      <c r="H67" s="3">
        <f t="shared" si="35"/>
        <v>41292.30179622829</v>
      </c>
      <c r="I67" s="3">
        <f t="shared" si="35"/>
        <v>41374.927692122539</v>
      </c>
      <c r="J67" s="3">
        <f t="shared" si="35"/>
        <v>41457.718922434462</v>
      </c>
      <c r="K67" s="3">
        <f t="shared" si="35"/>
        <v>41540.67581799825</v>
      </c>
      <c r="L67" s="3">
        <f t="shared" si="35"/>
        <v>41623.79871031006</v>
      </c>
      <c r="M67" s="3">
        <f t="shared" si="35"/>
        <v>41707.087931529379</v>
      </c>
      <c r="N67" s="3">
        <f t="shared" si="35"/>
        <v>41790.543814480363</v>
      </c>
      <c r="O67" s="3">
        <f t="shared" si="35"/>
        <v>41874.166692653132</v>
      </c>
      <c r="P67" s="3">
        <f t="shared" si="35"/>
        <v>41957.956900205121</v>
      </c>
      <c r="Q67" s="3">
        <f t="shared" si="35"/>
        <v>42041.914771962423</v>
      </c>
      <c r="R67" s="3">
        <f t="shared" si="35"/>
        <v>42126.040643421104</v>
      </c>
      <c r="S67" s="3">
        <f t="shared" si="35"/>
        <v>42210.334850748579</v>
      </c>
      <c r="T67" s="3">
        <f t="shared" si="35"/>
        <v>42294.797730784914</v>
      </c>
      <c r="U67" s="3">
        <f t="shared" si="35"/>
        <v>42379.429621044204</v>
      </c>
      <c r="V67" s="3">
        <f t="shared" si="35"/>
        <v>42464.230859715914</v>
      </c>
      <c r="W67" s="3">
        <f t="shared" si="35"/>
        <v>42549.201785666191</v>
      </c>
      <c r="X67" s="3">
        <f t="shared" si="35"/>
        <v>42634.3427384393</v>
      </c>
      <c r="Y67" s="3">
        <f t="shared" si="35"/>
        <v>42719.654058258908</v>
      </c>
      <c r="Z67" s="3">
        <f t="shared" si="35"/>
        <v>42805.136086029481</v>
      </c>
      <c r="AA67" s="3">
        <f t="shared" si="35"/>
        <v>42890.78916333762</v>
      </c>
      <c r="AB67" s="3">
        <f t="shared" si="35"/>
        <v>42976.613632453453</v>
      </c>
      <c r="AC67" s="3">
        <f t="shared" si="35"/>
        <v>43062.609836331991</v>
      </c>
      <c r="AD67" s="3">
        <f t="shared" si="35"/>
        <v>43148.778118614478</v>
      </c>
      <c r="AE67" s="3">
        <f t="shared" si="35"/>
        <v>43235.118823629819</v>
      </c>
      <c r="AF67" s="3">
        <f t="shared" si="35"/>
        <v>43321.632296395896</v>
      </c>
      <c r="AG67" s="3">
        <f t="shared" si="35"/>
        <v>43408.318882620966</v>
      </c>
      <c r="AH67" s="3">
        <f t="shared" si="35"/>
        <v>43495.178928705085</v>
      </c>
      <c r="AI67" s="3">
        <f t="shared" si="35"/>
        <v>43582.212781741415</v>
      </c>
      <c r="AJ67" s="3">
        <f t="shared" si="35"/>
        <v>43669.420789517666</v>
      </c>
      <c r="AK67" s="3">
        <f t="shared" si="35"/>
        <v>43756.80330051748</v>
      </c>
      <c r="AL67" s="3">
        <f t="shared" ref="AL67:BI67" si="36">SUM(AL66:AL66)</f>
        <v>43844.360663921805</v>
      </c>
      <c r="AM67" s="3">
        <f t="shared" si="36"/>
        <v>43932.093229610298</v>
      </c>
      <c r="AN67" s="3">
        <f t="shared" si="36"/>
        <v>44020.001348162747</v>
      </c>
      <c r="AO67" s="3">
        <f t="shared" si="36"/>
        <v>44108.085370860412</v>
      </c>
      <c r="AP67" s="3">
        <f t="shared" si="36"/>
        <v>44196.345649687493</v>
      </c>
      <c r="AQ67" s="3">
        <f t="shared" si="36"/>
        <v>44284.782537332503</v>
      </c>
      <c r="AR67" s="3">
        <f t="shared" si="36"/>
        <v>44373.396387189692</v>
      </c>
      <c r="AS67" s="3">
        <f t="shared" si="36"/>
        <v>44462.187553360447</v>
      </c>
      <c r="AT67" s="3">
        <f t="shared" si="36"/>
        <v>44551.156390654709</v>
      </c>
      <c r="AU67" s="3">
        <f t="shared" si="36"/>
        <v>44640.3032545924</v>
      </c>
      <c r="AV67" s="3">
        <f t="shared" si="36"/>
        <v>44729.628501404834</v>
      </c>
      <c r="AW67" s="3">
        <f t="shared" si="36"/>
        <v>44819.132488036135</v>
      </c>
      <c r="AX67" s="3">
        <f t="shared" si="36"/>
        <v>44908.815572144682</v>
      </c>
      <c r="AY67" s="3">
        <f t="shared" si="36"/>
        <v>44998.678112104535</v>
      </c>
      <c r="AZ67" s="3">
        <f t="shared" si="36"/>
        <v>45088.720467006846</v>
      </c>
      <c r="BA67" s="3">
        <f t="shared" si="36"/>
        <v>45178.942996661317</v>
      </c>
      <c r="BB67" s="3">
        <f t="shared" si="36"/>
        <v>45269.346061597629</v>
      </c>
      <c r="BC67" s="3">
        <f t="shared" si="36"/>
        <v>45359.930023066874</v>
      </c>
      <c r="BD67" s="3">
        <f t="shared" si="36"/>
        <v>45450.695243043017</v>
      </c>
      <c r="BE67" s="3">
        <f t="shared" si="36"/>
        <v>45541.642084224339</v>
      </c>
      <c r="BF67" s="3">
        <f t="shared" si="36"/>
        <v>45632.770910034866</v>
      </c>
      <c r="BG67" s="3">
        <f t="shared" si="36"/>
        <v>45724.082084625836</v>
      </c>
      <c r="BH67" s="3">
        <f t="shared" si="36"/>
        <v>45815.575972877159</v>
      </c>
      <c r="BI67" s="3">
        <f t="shared" si="36"/>
        <v>45907.252940398881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6" workbookViewId="0">
      <selection activeCell="C20" sqref="C20"/>
    </sheetView>
  </sheetViews>
  <sheetFormatPr defaultColWidth="8.85546875" defaultRowHeight="15" x14ac:dyDescent="0.25"/>
  <cols>
    <col min="1" max="1" width="34.140625" bestFit="1" customWidth="1"/>
    <col min="2" max="12" width="11.7109375" bestFit="1" customWidth="1"/>
    <col min="13" max="13" width="10.42578125" bestFit="1" customWidth="1"/>
  </cols>
  <sheetData>
    <row r="1" spans="1:13" x14ac:dyDescent="0.25">
      <c r="A1" t="str">
        <f>DATA!B1</f>
        <v>Example Trucking Company</v>
      </c>
    </row>
    <row r="2" spans="1:13" x14ac:dyDescent="0.25">
      <c r="A2" t="s">
        <v>79</v>
      </c>
    </row>
    <row r="3" spans="1:13" x14ac:dyDescent="0.25">
      <c r="A3" t="s">
        <v>121</v>
      </c>
    </row>
    <row r="5" spans="1:13" x14ac:dyDescent="0.25">
      <c r="A5" t="s">
        <v>80</v>
      </c>
      <c r="B5">
        <v>49</v>
      </c>
      <c r="C5">
        <v>50</v>
      </c>
      <c r="D5">
        <v>51</v>
      </c>
      <c r="E5">
        <v>52</v>
      </c>
      <c r="F5">
        <v>53</v>
      </c>
      <c r="G5">
        <v>54</v>
      </c>
      <c r="H5">
        <v>55</v>
      </c>
      <c r="I5">
        <v>56</v>
      </c>
      <c r="J5">
        <v>57</v>
      </c>
      <c r="K5">
        <v>58</v>
      </c>
      <c r="L5">
        <v>59</v>
      </c>
      <c r="M5">
        <v>60</v>
      </c>
    </row>
    <row r="7" spans="1:13" x14ac:dyDescent="0.25">
      <c r="A7" t="s">
        <v>81</v>
      </c>
    </row>
    <row r="8" spans="1:13" x14ac:dyDescent="0.25">
      <c r="A8" t="s">
        <v>82</v>
      </c>
    </row>
    <row r="9" spans="1:13" x14ac:dyDescent="0.25">
      <c r="A9" t="s">
        <v>83</v>
      </c>
      <c r="B9" s="12">
        <f>CashFlowStatement_Year5!B7+CashFlowStatement_Year5!B35</f>
        <v>310052.96971015068</v>
      </c>
      <c r="C9" s="12">
        <f>CashFlowStatement_Year5!C7+CashFlowStatement_Year5!C35</f>
        <v>318998.46303189988</v>
      </c>
      <c r="D9" s="12">
        <f>CashFlowStatement_Year5!D7+CashFlowStatement_Year5!D35</f>
        <v>328000.25562308414</v>
      </c>
      <c r="E9" s="12">
        <f>CashFlowStatement_Year5!E7+CashFlowStatement_Year5!E35</f>
        <v>337058.04929019342</v>
      </c>
      <c r="F9" s="12">
        <f>CashFlowStatement_Year5!F7+CashFlowStatement_Year5!F35</f>
        <v>346171.54582711257</v>
      </c>
      <c r="G9" s="12">
        <f>CashFlowStatement_Year5!G7+CashFlowStatement_Year5!G35</f>
        <v>355340.44697587192</v>
      </c>
      <c r="H9" s="12">
        <f>CashFlowStatement_Year5!H7+CashFlowStatement_Year5!H35</f>
        <v>364564.45438738458</v>
      </c>
      <c r="I9" s="12">
        <f>CashFlowStatement_Year5!I7+CashFlowStatement_Year5!I35</f>
        <v>373843.26958216616</v>
      </c>
      <c r="J9" s="12">
        <f>CashFlowStatement_Year5!J7+CashFlowStatement_Year5!J35</f>
        <v>383176.59391103347</v>
      </c>
      <c r="K9" s="12">
        <f>CashFlowStatement_Year5!K7+CashFlowStatement_Year5!K35</f>
        <v>392564.12851577811</v>
      </c>
      <c r="L9" s="12">
        <f>CashFlowStatement_Year5!L7+CashFlowStatement_Year5!L35</f>
        <v>402005.57428981055</v>
      </c>
      <c r="M9" s="12">
        <f>CashFlowStatement_Year5!M7+CashFlowStatement_Year5!M35</f>
        <v>411500.63183877169</v>
      </c>
    </row>
    <row r="10" spans="1:13" x14ac:dyDescent="0.25">
      <c r="A10" t="s">
        <v>84</v>
      </c>
      <c r="B10" s="12">
        <f>IncomeStatement_Year5!B8-CashFlowStatement_Year5!B10+BalanceSheet_Year4!M10</f>
        <v>0</v>
      </c>
      <c r="C10" s="12">
        <f>IncomeStatement_Year5!C8-CashFlowStatement_Year5!C10+B10</f>
        <v>0</v>
      </c>
      <c r="D10" s="12">
        <f>IncomeStatement_Year5!D8-CashFlowStatement_Year5!D10+C10</f>
        <v>0</v>
      </c>
      <c r="E10" s="12">
        <f>IncomeStatement_Year5!E8-CashFlowStatement_Year5!E10+D10</f>
        <v>0</v>
      </c>
      <c r="F10" s="12">
        <f>IncomeStatement_Year5!F8-CashFlowStatement_Year5!F10+E10</f>
        <v>0</v>
      </c>
      <c r="G10" s="12">
        <f>IncomeStatement_Year5!G8-CashFlowStatement_Year5!G10+F10</f>
        <v>0</v>
      </c>
      <c r="H10" s="12">
        <f>IncomeStatement_Year5!H8-CashFlowStatement_Year5!H10+G10</f>
        <v>0</v>
      </c>
      <c r="I10" s="12">
        <f>IncomeStatement_Year5!I8-CashFlowStatement_Year5!I10+H10</f>
        <v>0</v>
      </c>
      <c r="J10" s="12">
        <f>IncomeStatement_Year5!J8-CashFlowStatement_Year5!J10+I10</f>
        <v>0</v>
      </c>
      <c r="K10" s="12">
        <f>IncomeStatement_Year5!K8-CashFlowStatement_Year5!K10+J10</f>
        <v>0</v>
      </c>
      <c r="L10" s="12">
        <f>IncomeStatement_Year5!L8-CashFlowStatement_Year5!L10+K10</f>
        <v>0</v>
      </c>
      <c r="M10" s="12">
        <f>IncomeStatement_Year5!M8-CashFlowStatement_Year5!M10+L10</f>
        <v>0</v>
      </c>
    </row>
    <row r="11" spans="1:13" hidden="1" x14ac:dyDescent="0.25">
      <c r="A11" t="s">
        <v>85</v>
      </c>
      <c r="B11" s="12">
        <f>IncomeStatement_Year5!B10*DATA!$B$3</f>
        <v>0</v>
      </c>
      <c r="C11" s="12">
        <f>IncomeStatement_Year5!C10*DATA!$B$3</f>
        <v>0</v>
      </c>
      <c r="D11" s="12">
        <f>IncomeStatement_Year5!D10*DATA!$B$3</f>
        <v>0</v>
      </c>
      <c r="E11" s="12">
        <f>IncomeStatement_Year5!E10*DATA!$B$3</f>
        <v>0</v>
      </c>
      <c r="F11" s="12">
        <f>IncomeStatement_Year5!F10*DATA!$B$3</f>
        <v>0</v>
      </c>
      <c r="G11" s="12">
        <f>IncomeStatement_Year5!G10*DATA!$B$3</f>
        <v>0</v>
      </c>
      <c r="H11" s="12">
        <f>IncomeStatement_Year5!H10*DATA!$B$3</f>
        <v>0</v>
      </c>
      <c r="I11" s="12">
        <f>IncomeStatement_Year5!I10*DATA!$B$3</f>
        <v>0</v>
      </c>
      <c r="J11" s="12">
        <f>IncomeStatement_Year5!J10*DATA!$B$3</f>
        <v>0</v>
      </c>
      <c r="K11" s="12">
        <f>IncomeStatement_Year5!K10*DATA!$B$3</f>
        <v>0</v>
      </c>
      <c r="L11" s="12">
        <f>IncomeStatement_Year5!L10*DATA!$B$3</f>
        <v>0</v>
      </c>
      <c r="M11" s="12">
        <f>IncomeStatement_Year5!M10*DATA!$B$3</f>
        <v>0</v>
      </c>
    </row>
    <row r="12" spans="1:13" x14ac:dyDescent="0.25">
      <c r="A12" s="4" t="s">
        <v>86</v>
      </c>
      <c r="B12" s="14">
        <f t="shared" ref="B12:M12" si="0">SUM(B9:B11)</f>
        <v>310052.96971015068</v>
      </c>
      <c r="C12" s="14">
        <f t="shared" si="0"/>
        <v>318998.46303189988</v>
      </c>
      <c r="D12" s="14">
        <f t="shared" si="0"/>
        <v>328000.25562308414</v>
      </c>
      <c r="E12" s="14">
        <f t="shared" si="0"/>
        <v>337058.04929019342</v>
      </c>
      <c r="F12" s="14">
        <f t="shared" si="0"/>
        <v>346171.54582711257</v>
      </c>
      <c r="G12" s="14">
        <f t="shared" si="0"/>
        <v>355340.44697587192</v>
      </c>
      <c r="H12" s="14">
        <f t="shared" si="0"/>
        <v>364564.45438738458</v>
      </c>
      <c r="I12" s="14">
        <f t="shared" si="0"/>
        <v>373843.26958216616</v>
      </c>
      <c r="J12" s="14">
        <f t="shared" si="0"/>
        <v>383176.59391103347</v>
      </c>
      <c r="K12" s="14">
        <f t="shared" si="0"/>
        <v>392564.12851577811</v>
      </c>
      <c r="L12" s="14">
        <f t="shared" si="0"/>
        <v>402005.57428981055</v>
      </c>
      <c r="M12" s="14">
        <f t="shared" si="0"/>
        <v>411500.63183877169</v>
      </c>
    </row>
    <row r="14" spans="1:13" x14ac:dyDescent="0.25">
      <c r="A14" t="s">
        <v>87</v>
      </c>
    </row>
    <row r="15" spans="1:13" x14ac:dyDescent="0.25">
      <c r="A15" t="s">
        <v>167</v>
      </c>
      <c r="B15" s="12">
        <f>IF(B5=DATA!E19,DATA!B19,0)+BalanceSheet_Year4!M15</f>
        <v>300000</v>
      </c>
      <c r="C15" s="12">
        <f>IF(C5=DATA!E19,DATA!B19,0)+B15</f>
        <v>300000</v>
      </c>
      <c r="D15" s="12">
        <f>IF(D5=DATA!E19,DATA!B19,0)+C15</f>
        <v>300000</v>
      </c>
      <c r="E15" s="12">
        <f>IF(E5=DATA!E19,DATA!B19,0)+D15</f>
        <v>300000</v>
      </c>
      <c r="F15" s="12">
        <f>IF(F5=DATA!E19,DATA!B19,0)+E15</f>
        <v>300000</v>
      </c>
      <c r="G15" s="12">
        <f>IF(G5=DATA!E19,DATA!B19,0)+F15</f>
        <v>300000</v>
      </c>
      <c r="H15" s="12">
        <f>IF(H5=DATA!E19,DATA!B19,0)+G15</f>
        <v>300000</v>
      </c>
      <c r="I15" s="12">
        <f>IF(I5=DATA!E19,DATA!B19,0)+H15</f>
        <v>300000</v>
      </c>
      <c r="J15" s="12">
        <f>IF(J5=DATA!E19,DATA!B19,0)+I15</f>
        <v>300000</v>
      </c>
      <c r="K15" s="12">
        <f>IF(K5=DATA!E19,DATA!B19,0)+J15</f>
        <v>300000</v>
      </c>
      <c r="L15" s="12">
        <f>IF(L5=DATA!E19,DATA!B19,0)+K15</f>
        <v>300000</v>
      </c>
      <c r="M15" s="12">
        <f>IF(M5=DATA!E19,DATA!B19,0)+L15</f>
        <v>300000</v>
      </c>
    </row>
    <row r="16" spans="1:13" x14ac:dyDescent="0.25">
      <c r="A16" t="s">
        <v>168</v>
      </c>
      <c r="B16" s="12">
        <f>IF(B5=DATA!E22,DATA!B22,0)+BalanceSheet_Year4!M16</f>
        <v>150000</v>
      </c>
      <c r="C16" s="12">
        <f>IF(C5=DATA!E22,DATA!B22,0)+B16</f>
        <v>150000</v>
      </c>
      <c r="D16" s="12">
        <f>IF(D5=DATA!E22,DATA!B22,0)+C16</f>
        <v>150000</v>
      </c>
      <c r="E16" s="12">
        <f>IF(E5=DATA!E22,DATA!B22,0)+D16</f>
        <v>150000</v>
      </c>
      <c r="F16" s="12">
        <f>IF(F5=DATA!E22,DATA!B22,0)+E16</f>
        <v>150000</v>
      </c>
      <c r="G16" s="12">
        <f>IF(G5=DATA!E22,DATA!B22,0)+F16</f>
        <v>150000</v>
      </c>
      <c r="H16" s="12">
        <f>IF(H5=DATA!E22,DATA!B22,0)+G16</f>
        <v>150000</v>
      </c>
      <c r="I16" s="12">
        <f>IF(I5=DATA!E22,DATA!B22,0)+H16</f>
        <v>150000</v>
      </c>
      <c r="J16" s="12">
        <f>IF(J5=DATA!E22,DATA!B22,0)+I16</f>
        <v>150000</v>
      </c>
      <c r="K16" s="12">
        <f>IF(K5=DATA!E22,DATA!B22,0)+J16</f>
        <v>150000</v>
      </c>
      <c r="L16" s="12">
        <f>IF(L5=DATA!E22,DATA!B22,0)+K16</f>
        <v>150000</v>
      </c>
      <c r="M16" s="12">
        <f>IF(M5=DATA!E22,DATA!B22,0)+L16</f>
        <v>150000</v>
      </c>
    </row>
    <row r="17" spans="1:13" x14ac:dyDescent="0.25">
      <c r="A17" t="s">
        <v>88</v>
      </c>
      <c r="B17" s="12">
        <f>-(IncomeStatement_Year5!B30-BalanceSheet_Year4!M17)</f>
        <v>-128625</v>
      </c>
      <c r="C17" s="12">
        <f>-(IncomeStatement_Year5!C30-B17)</f>
        <v>-131250</v>
      </c>
      <c r="D17" s="12">
        <f>-(IncomeStatement_Year5!D30-C17)</f>
        <v>-133875</v>
      </c>
      <c r="E17" s="12">
        <f>-(IncomeStatement_Year5!E30-D17)</f>
        <v>-136500</v>
      </c>
      <c r="F17" s="12">
        <f>-(IncomeStatement_Year5!F30-E17)</f>
        <v>-139125</v>
      </c>
      <c r="G17" s="12">
        <f>-(IncomeStatement_Year5!G30-F17)</f>
        <v>-141750</v>
      </c>
      <c r="H17" s="12">
        <f>-(IncomeStatement_Year5!H30-G17)</f>
        <v>-144375</v>
      </c>
      <c r="I17" s="12">
        <f>-(IncomeStatement_Year5!I30-H17)</f>
        <v>-147000</v>
      </c>
      <c r="J17" s="12">
        <f>-(IncomeStatement_Year5!J30-I17)</f>
        <v>-149625</v>
      </c>
      <c r="K17" s="12">
        <f>-(IncomeStatement_Year5!K30-J17)</f>
        <v>-152250</v>
      </c>
      <c r="L17" s="12">
        <f>-(IncomeStatement_Year5!L30-K17)</f>
        <v>-154875</v>
      </c>
      <c r="M17" s="12">
        <f>-(IncomeStatement_Year5!M30-L17)</f>
        <v>-157500</v>
      </c>
    </row>
    <row r="18" spans="1:13" x14ac:dyDescent="0.25">
      <c r="A18" s="4" t="s">
        <v>89</v>
      </c>
      <c r="B18" s="14">
        <f t="shared" ref="B18:M18" si="1">SUM(B15:B17)</f>
        <v>321375</v>
      </c>
      <c r="C18" s="14">
        <f t="shared" si="1"/>
        <v>318750</v>
      </c>
      <c r="D18" s="14">
        <f t="shared" si="1"/>
        <v>316125</v>
      </c>
      <c r="E18" s="14">
        <f t="shared" si="1"/>
        <v>313500</v>
      </c>
      <c r="F18" s="14">
        <f t="shared" si="1"/>
        <v>310875</v>
      </c>
      <c r="G18" s="14">
        <f t="shared" si="1"/>
        <v>308250</v>
      </c>
      <c r="H18" s="14">
        <f t="shared" si="1"/>
        <v>305625</v>
      </c>
      <c r="I18" s="14">
        <f t="shared" si="1"/>
        <v>303000</v>
      </c>
      <c r="J18" s="14">
        <f t="shared" si="1"/>
        <v>300375</v>
      </c>
      <c r="K18" s="14">
        <f t="shared" si="1"/>
        <v>297750</v>
      </c>
      <c r="L18" s="14">
        <f t="shared" si="1"/>
        <v>295125</v>
      </c>
      <c r="M18" s="14">
        <f t="shared" si="1"/>
        <v>292500</v>
      </c>
    </row>
    <row r="20" spans="1:13" x14ac:dyDescent="0.25">
      <c r="A20" s="4" t="s">
        <v>90</v>
      </c>
      <c r="B20" s="9">
        <f t="shared" ref="B20:M20" si="2">B12+B18</f>
        <v>631427.96971015073</v>
      </c>
      <c r="C20" s="9">
        <f t="shared" si="2"/>
        <v>637748.46303189988</v>
      </c>
      <c r="D20" s="9">
        <f t="shared" si="2"/>
        <v>644125.25562308414</v>
      </c>
      <c r="E20" s="9">
        <f t="shared" si="2"/>
        <v>650558.04929019348</v>
      </c>
      <c r="F20" s="9">
        <f t="shared" si="2"/>
        <v>657046.54582711263</v>
      </c>
      <c r="G20" s="9">
        <f t="shared" si="2"/>
        <v>663590.44697587192</v>
      </c>
      <c r="H20" s="9">
        <f t="shared" si="2"/>
        <v>670189.45438738458</v>
      </c>
      <c r="I20" s="9">
        <f t="shared" si="2"/>
        <v>676843.2695821661</v>
      </c>
      <c r="J20" s="9">
        <f t="shared" si="2"/>
        <v>683551.59391103347</v>
      </c>
      <c r="K20" s="9">
        <f t="shared" si="2"/>
        <v>690314.12851577811</v>
      </c>
      <c r="L20" s="9">
        <f t="shared" si="2"/>
        <v>697130.57428981061</v>
      </c>
      <c r="M20" s="9">
        <f t="shared" si="2"/>
        <v>704000.63183877175</v>
      </c>
    </row>
    <row r="22" spans="1:13" x14ac:dyDescent="0.25">
      <c r="A22" s="4" t="s">
        <v>91</v>
      </c>
    </row>
    <row r="23" spans="1:13" x14ac:dyDescent="0.25">
      <c r="A23" t="s">
        <v>92</v>
      </c>
    </row>
    <row r="24" spans="1:13" x14ac:dyDescent="0.25">
      <c r="A24" t="s">
        <v>93</v>
      </c>
      <c r="B24" s="12">
        <f>(IncomeStatement_Year5!B12+SUM(IncomeStatement_Year5!B18:B26)+IncomeStatement_Year5!B29)/2</f>
        <v>13365.397849377325</v>
      </c>
      <c r="C24" s="12">
        <f>(IncomeStatement_Year5!C12+SUM(IncomeStatement_Year5!C18:C26)+IncomeStatement_Year5!C29)/2</f>
        <v>13382.149844189473</v>
      </c>
      <c r="D24" s="12">
        <f>(IncomeStatement_Year5!D12+SUM(IncomeStatement_Year5!D18:D26)+IncomeStatement_Year5!D29)/2</f>
        <v>13399.140934844585</v>
      </c>
      <c r="E24" s="12">
        <f>(IncomeStatement_Year5!E12+SUM(IncomeStatement_Year5!E18:E26)+IncomeStatement_Year5!E29)/2</f>
        <v>13416.371297918948</v>
      </c>
      <c r="F24" s="12">
        <f>(IncomeStatement_Year5!F12+SUM(IncomeStatement_Year5!F18:F26)+IncomeStatement_Year5!F29)/2</f>
        <v>13433.841129971039</v>
      </c>
      <c r="G24" s="12">
        <f>(IncomeStatement_Year5!G12+SUM(IncomeStatement_Year5!G18:G26)+IncomeStatement_Year5!G29)/2</f>
        <v>13451.550647547974</v>
      </c>
      <c r="H24" s="12">
        <f>(IncomeStatement_Year5!H12+SUM(IncomeStatement_Year5!H18:H26)+IncomeStatement_Year5!H29)/2</f>
        <v>13469.500087193901</v>
      </c>
      <c r="I24" s="12">
        <f>(IncomeStatement_Year5!I12+SUM(IncomeStatement_Year5!I18:I26)+IncomeStatement_Year5!I29)/2</f>
        <v>13487.689705460369</v>
      </c>
      <c r="J24" s="12">
        <f>(IncomeStatement_Year5!J12+SUM(IncomeStatement_Year5!J18:J26)+IncomeStatement_Year5!J29)/2</f>
        <v>13506.119778918648</v>
      </c>
      <c r="K24" s="12">
        <f>(IncomeStatement_Year5!K12+SUM(IncomeStatement_Year5!K18:K26)+IncomeStatement_Year5!K29)/2</f>
        <v>13524.790604174043</v>
      </c>
      <c r="L24" s="12">
        <f>(IncomeStatement_Year5!L12+SUM(IncomeStatement_Year5!L18:L26)+IncomeStatement_Year5!L29)/2</f>
        <v>13543.702497882146</v>
      </c>
      <c r="M24" s="12">
        <f>(IncomeStatement_Year5!M12+SUM(IncomeStatement_Year5!M18:M26)+IncomeStatement_Year5!M29)/2</f>
        <v>13562.855796767086</v>
      </c>
    </row>
    <row r="25" spans="1:13" x14ac:dyDescent="0.25">
      <c r="A25" s="4" t="s">
        <v>94</v>
      </c>
      <c r="B25" s="14">
        <f t="shared" ref="B25:M25" si="3">B24</f>
        <v>13365.397849377325</v>
      </c>
      <c r="C25" s="14">
        <f t="shared" si="3"/>
        <v>13382.149844189473</v>
      </c>
      <c r="D25" s="14">
        <f t="shared" si="3"/>
        <v>13399.140934844585</v>
      </c>
      <c r="E25" s="14">
        <f t="shared" si="3"/>
        <v>13416.371297918948</v>
      </c>
      <c r="F25" s="14">
        <f t="shared" si="3"/>
        <v>13433.841129971039</v>
      </c>
      <c r="G25" s="14">
        <f t="shared" si="3"/>
        <v>13451.550647547974</v>
      </c>
      <c r="H25" s="14">
        <f t="shared" si="3"/>
        <v>13469.500087193901</v>
      </c>
      <c r="I25" s="14">
        <f t="shared" si="3"/>
        <v>13487.689705460369</v>
      </c>
      <c r="J25" s="14">
        <f t="shared" si="3"/>
        <v>13506.119778918648</v>
      </c>
      <c r="K25" s="14">
        <f t="shared" si="3"/>
        <v>13524.790604174043</v>
      </c>
      <c r="L25" s="14">
        <f t="shared" si="3"/>
        <v>13543.702497882146</v>
      </c>
      <c r="M25" s="14">
        <f t="shared" si="3"/>
        <v>13562.855796767086</v>
      </c>
    </row>
    <row r="27" spans="1:13" x14ac:dyDescent="0.25">
      <c r="A27" t="s">
        <v>95</v>
      </c>
    </row>
    <row r="28" spans="1:13" x14ac:dyDescent="0.25">
      <c r="A28" t="str">
        <f>LoanModule!C1</f>
        <v>Bank Loan</v>
      </c>
      <c r="B28" s="12">
        <f>LoanModule!F58</f>
        <v>75029.6972356591</v>
      </c>
      <c r="C28" s="12">
        <f>LoanModule!F59</f>
        <v>68433.15721628537</v>
      </c>
      <c r="D28" s="12">
        <f>LoanModule!F60</f>
        <v>61792.640263449153</v>
      </c>
      <c r="E28" s="12">
        <f>LoanModule!F61</f>
        <v>55107.853197594028</v>
      </c>
      <c r="F28" s="12">
        <f>LoanModule!F62</f>
        <v>48378.500884633198</v>
      </c>
      <c r="G28" s="12">
        <f>LoanModule!F63</f>
        <v>41604.286222919298</v>
      </c>
      <c r="H28" s="12">
        <f>LoanModule!F64</f>
        <v>34784.910130127304</v>
      </c>
      <c r="I28" s="12">
        <f>LoanModule!F65</f>
        <v>27920.071530050031</v>
      </c>
      <c r="J28" s="12">
        <f>LoanModule!F66</f>
        <v>21009.467339305578</v>
      </c>
      <c r="K28" s="12">
        <f>LoanModule!F67</f>
        <v>14052.792453956161</v>
      </c>
      <c r="L28" s="12">
        <f>LoanModule!F68</f>
        <v>7049.7397360377472</v>
      </c>
      <c r="M28" s="12">
        <f>LoanModule!F69</f>
        <v>0</v>
      </c>
    </row>
    <row r="29" spans="1:13" x14ac:dyDescent="0.25">
      <c r="A29" s="4" t="s">
        <v>96</v>
      </c>
      <c r="B29" s="14">
        <f t="shared" ref="B29:M29" si="4">SUM(B28:B28)</f>
        <v>75029.6972356591</v>
      </c>
      <c r="C29" s="14">
        <f t="shared" si="4"/>
        <v>68433.15721628537</v>
      </c>
      <c r="D29" s="14">
        <f t="shared" si="4"/>
        <v>61792.640263449153</v>
      </c>
      <c r="E29" s="14">
        <f t="shared" si="4"/>
        <v>55107.853197594028</v>
      </c>
      <c r="F29" s="14">
        <f t="shared" si="4"/>
        <v>48378.500884633198</v>
      </c>
      <c r="G29" s="14">
        <f t="shared" si="4"/>
        <v>41604.286222919298</v>
      </c>
      <c r="H29" s="14">
        <f t="shared" si="4"/>
        <v>34784.910130127304</v>
      </c>
      <c r="I29" s="14">
        <f t="shared" si="4"/>
        <v>27920.071530050031</v>
      </c>
      <c r="J29" s="14">
        <f t="shared" si="4"/>
        <v>21009.467339305578</v>
      </c>
      <c r="K29" s="14">
        <f t="shared" si="4"/>
        <v>14052.792453956161</v>
      </c>
      <c r="L29" s="14">
        <f t="shared" si="4"/>
        <v>7049.7397360377472</v>
      </c>
      <c r="M29" s="14">
        <f t="shared" si="4"/>
        <v>0</v>
      </c>
    </row>
    <row r="31" spans="1:13" x14ac:dyDescent="0.25">
      <c r="A31" s="4" t="s">
        <v>97</v>
      </c>
      <c r="B31" s="9">
        <f t="shared" ref="B31:M31" si="5">B25+B29</f>
        <v>88395.095085036417</v>
      </c>
      <c r="C31" s="9">
        <f t="shared" si="5"/>
        <v>81815.30706047485</v>
      </c>
      <c r="D31" s="9">
        <f t="shared" si="5"/>
        <v>75191.781198293742</v>
      </c>
      <c r="E31" s="9">
        <f t="shared" si="5"/>
        <v>68524.224495512972</v>
      </c>
      <c r="F31" s="9">
        <f t="shared" si="5"/>
        <v>61812.342014604234</v>
      </c>
      <c r="G31" s="9">
        <f t="shared" si="5"/>
        <v>55055.836870467276</v>
      </c>
      <c r="H31" s="9">
        <f t="shared" si="5"/>
        <v>48254.410217321201</v>
      </c>
      <c r="I31" s="9">
        <f t="shared" si="5"/>
        <v>41407.761235510399</v>
      </c>
      <c r="J31" s="9">
        <f t="shared" si="5"/>
        <v>34515.587118224226</v>
      </c>
      <c r="K31" s="9">
        <f t="shared" si="5"/>
        <v>27577.583058130203</v>
      </c>
      <c r="L31" s="9">
        <f t="shared" si="5"/>
        <v>20593.442233919894</v>
      </c>
      <c r="M31" s="9">
        <f t="shared" si="5"/>
        <v>13562.855796767086</v>
      </c>
    </row>
    <row r="33" spans="1:13" x14ac:dyDescent="0.25">
      <c r="A33" t="s">
        <v>98</v>
      </c>
    </row>
    <row r="34" spans="1:13" x14ac:dyDescent="0.25">
      <c r="A34" t="s">
        <v>99</v>
      </c>
      <c r="B34" s="12">
        <f>BalanceSheet_Year4!M34</f>
        <v>152000</v>
      </c>
      <c r="C34" s="12">
        <f t="shared" ref="C34:M34" si="6">B34</f>
        <v>152000</v>
      </c>
      <c r="D34" s="12">
        <f t="shared" si="6"/>
        <v>152000</v>
      </c>
      <c r="E34" s="12">
        <f t="shared" si="6"/>
        <v>152000</v>
      </c>
      <c r="F34" s="12">
        <f t="shared" si="6"/>
        <v>152000</v>
      </c>
      <c r="G34" s="12">
        <f t="shared" si="6"/>
        <v>152000</v>
      </c>
      <c r="H34" s="12">
        <f t="shared" si="6"/>
        <v>152000</v>
      </c>
      <c r="I34" s="12">
        <f t="shared" si="6"/>
        <v>152000</v>
      </c>
      <c r="J34" s="12">
        <f t="shared" si="6"/>
        <v>152000</v>
      </c>
      <c r="K34" s="12">
        <f t="shared" si="6"/>
        <v>152000</v>
      </c>
      <c r="L34" s="12">
        <f t="shared" si="6"/>
        <v>152000</v>
      </c>
      <c r="M34" s="12">
        <f t="shared" si="6"/>
        <v>152000</v>
      </c>
    </row>
    <row r="35" spans="1:13" x14ac:dyDescent="0.25">
      <c r="A35" t="s">
        <v>100</v>
      </c>
      <c r="B35" s="12">
        <f>0+BalanceSheet_Year4!M35</f>
        <v>0</v>
      </c>
      <c r="C35" s="12">
        <f t="shared" ref="C35:M35" si="7">0+B35</f>
        <v>0</v>
      </c>
      <c r="D35" s="12">
        <f t="shared" si="7"/>
        <v>0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0</v>
      </c>
      <c r="I35" s="12">
        <f t="shared" si="7"/>
        <v>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</row>
    <row r="36" spans="1:13" x14ac:dyDescent="0.25">
      <c r="A36" t="s">
        <v>16</v>
      </c>
      <c r="B36" s="12">
        <f>BalanceSheet_Year4!M36+DATA!AX40</f>
        <v>0</v>
      </c>
      <c r="C36" s="12">
        <f>B36+DATA!AY40</f>
        <v>0</v>
      </c>
      <c r="D36" s="12">
        <f>C36+DATA!AZ40</f>
        <v>0</v>
      </c>
      <c r="E36" s="12">
        <f>D36+DATA!BA40</f>
        <v>0</v>
      </c>
      <c r="F36" s="12">
        <f>E36+DATA!BB40</f>
        <v>0</v>
      </c>
      <c r="G36" s="12">
        <f>F36+DATA!BC40</f>
        <v>0</v>
      </c>
      <c r="H36" s="12">
        <f>G36+DATA!BD40</f>
        <v>0</v>
      </c>
      <c r="I36" s="12">
        <f>H36+DATA!BE40</f>
        <v>0</v>
      </c>
      <c r="J36" s="12">
        <f>I36+DATA!BF40</f>
        <v>0</v>
      </c>
      <c r="K36" s="12">
        <f>J36+DATA!BG40</f>
        <v>0</v>
      </c>
      <c r="L36" s="12">
        <f>K36+DATA!BH40</f>
        <v>0</v>
      </c>
      <c r="M36" s="12">
        <f>L36+DATA!BI40</f>
        <v>0</v>
      </c>
    </row>
    <row r="37" spans="1:13" x14ac:dyDescent="0.25">
      <c r="A37" t="s">
        <v>101</v>
      </c>
      <c r="B37" s="12">
        <f>(BalanceSheet_Year4!M37+IncomeStatement_Year5!B37)-B36</f>
        <v>391032.87462511414</v>
      </c>
      <c r="C37" s="12">
        <f>(B37+IncomeStatement_Year5!C37)-C36</f>
        <v>403933.15597142495</v>
      </c>
      <c r="D37" s="12">
        <f>(C37+IncomeStatement_Year5!D37)-D36</f>
        <v>416933.47442479036</v>
      </c>
      <c r="E37" s="12">
        <f>(D37+IncomeStatement_Year5!E37)-E36</f>
        <v>430033.8247946804</v>
      </c>
      <c r="F37" s="12">
        <f>(E37+IncomeStatement_Year5!F37)-F36</f>
        <v>443234.20381250826</v>
      </c>
      <c r="G37" s="12">
        <f>(F37+IncomeStatement_Year5!G37)-G36</f>
        <v>456534.61010540457</v>
      </c>
      <c r="H37" s="12">
        <f>(G37+IncomeStatement_Year5!H37)-H36</f>
        <v>469935.04417006328</v>
      </c>
      <c r="I37" s="12">
        <f>(H37+IncomeStatement_Year5!I37)-I36</f>
        <v>483435.50834665564</v>
      </c>
      <c r="J37" s="12">
        <f>(I37+IncomeStatement_Year5!J37)-J36</f>
        <v>497036.00679280917</v>
      </c>
      <c r="K37" s="12">
        <f>(J37+IncomeStatement_Year5!K37)-K36</f>
        <v>510736.54545764782</v>
      </c>
      <c r="L37" s="12">
        <f>(K37+IncomeStatement_Year5!L37)-L36</f>
        <v>524537.13205589063</v>
      </c>
      <c r="M37" s="12">
        <f>(L37+IncomeStatement_Year5!M37)-M36</f>
        <v>538437.7760420047</v>
      </c>
    </row>
    <row r="38" spans="1:13" x14ac:dyDescent="0.25">
      <c r="A38" s="4" t="s">
        <v>102</v>
      </c>
      <c r="B38" s="9">
        <f>SUM(B34:B37)-B36+SUM(BalanceSheet_Year1!C36:N36)+SUM(BalanceSheet_Year2!B36:M36)</f>
        <v>543032.87462511414</v>
      </c>
      <c r="C38" s="9">
        <f>SUM(C34:C37)-C36+SUM(BalanceSheet_Year1!C36:N36)+SUM(BalanceSheet_Year2!B36:M36)+SUM(BalanceSheet_Year5!B36:B36)</f>
        <v>555933.15597142489</v>
      </c>
      <c r="D38" s="9">
        <f>SUM(D34:D37)-D36+SUM(BalanceSheet_Year1!C36:N36)+SUM(BalanceSheet_Year2!B36:M36)+SUM(BalanceSheet_Year5!B36:C36)</f>
        <v>568933.47442479036</v>
      </c>
      <c r="E38" s="9">
        <f>SUM(E34:E37)-E36+SUM(BalanceSheet_Year1!C36:N36)+SUM(BalanceSheet_Year2!B36:M36)+SUM(BalanceSheet_Year5!B36:D36)</f>
        <v>582033.82479468035</v>
      </c>
      <c r="F38" s="9">
        <f>SUM(F34:F37)-F36+SUM(BalanceSheet_Year1!C36:N36)+SUM(BalanceSheet_Year2!B36:M36)+SUM(BalanceSheet_Year5!B36:E36)</f>
        <v>595234.20381250826</v>
      </c>
      <c r="G38" s="9">
        <f>SUM(G34:G37)-G36+SUM(BalanceSheet_Year1!C36:N36)+SUM(BalanceSheet_Year2!B36:M36)+SUM(BalanceSheet_Year5!B36:F36)</f>
        <v>608534.61010540463</v>
      </c>
      <c r="H38" s="9">
        <f>SUM(H34:H37)-H36+SUM(BalanceSheet_Year1!C36:N36)+SUM(BalanceSheet_Year2!B36:M36)+SUM(BalanceSheet_Year5!B36:G36)</f>
        <v>621935.04417006322</v>
      </c>
      <c r="I38" s="9">
        <f>SUM(I34:I37)-I36+SUM(BalanceSheet_Year1!C36:N36)+SUM(BalanceSheet_Year2!B36:M36)+SUM(BalanceSheet_Year5!B36:H36)</f>
        <v>635435.50834665564</v>
      </c>
      <c r="J38" s="9">
        <f>SUM(J34:J37)-J36+SUM(BalanceSheet_Year1!C36:N36)+SUM(BalanceSheet_Year2!B36:M36)+SUM(BalanceSheet_Year5!B36:I36)</f>
        <v>649036.00679280912</v>
      </c>
      <c r="K38" s="9">
        <f>SUM(K34:K37)-K36+SUM(BalanceSheet_Year1!C36:N36)+SUM(BalanceSheet_Year2!B36:M36)+SUM(BalanceSheet_Year5!B36:J36)</f>
        <v>662736.54545764788</v>
      </c>
      <c r="L38" s="9">
        <f>SUM(L34:L37)-L36+SUM(BalanceSheet_Year1!C36:N36)+SUM(BalanceSheet_Year2!B36:M36)+SUM(BalanceSheet_Year5!B36:K36)</f>
        <v>676537.13205589063</v>
      </c>
      <c r="M38" s="9">
        <f>SUM(M34:M37)-M36+SUM(BalanceSheet_Year1!C36:N36)+SUM(BalanceSheet_Year2!B36:M36)+SUM(BalanceSheet_Year5!B36:L36)</f>
        <v>690437.7760420047</v>
      </c>
    </row>
    <row r="40" spans="1:13" x14ac:dyDescent="0.25">
      <c r="A40" s="4" t="s">
        <v>103</v>
      </c>
      <c r="B40" s="9">
        <f t="shared" ref="B40:M40" si="8">B38+B31</f>
        <v>631427.9697101505</v>
      </c>
      <c r="C40" s="9">
        <f t="shared" si="8"/>
        <v>637748.46303189977</v>
      </c>
      <c r="D40" s="9">
        <f t="shared" si="8"/>
        <v>644125.25562308414</v>
      </c>
      <c r="E40" s="9">
        <f t="shared" si="8"/>
        <v>650558.04929019336</v>
      </c>
      <c r="F40" s="9">
        <f t="shared" si="8"/>
        <v>657046.54582711251</v>
      </c>
      <c r="G40" s="9">
        <f t="shared" si="8"/>
        <v>663590.44697587192</v>
      </c>
      <c r="H40" s="9">
        <f t="shared" si="8"/>
        <v>670189.45438738447</v>
      </c>
      <c r="I40" s="9">
        <f t="shared" si="8"/>
        <v>676843.26958216599</v>
      </c>
      <c r="J40" s="9">
        <f t="shared" si="8"/>
        <v>683551.59391103336</v>
      </c>
      <c r="K40" s="9">
        <f t="shared" si="8"/>
        <v>690314.12851577811</v>
      </c>
      <c r="L40" s="9">
        <f t="shared" si="8"/>
        <v>697130.57428981049</v>
      </c>
      <c r="M40" s="9">
        <f t="shared" si="8"/>
        <v>704000.63183877175</v>
      </c>
    </row>
    <row r="45" spans="1:13" x14ac:dyDescent="0.25">
      <c r="A45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6" sqref="A6"/>
    </sheetView>
  </sheetViews>
  <sheetFormatPr defaultColWidth="8.85546875" defaultRowHeight="15" x14ac:dyDescent="0.25"/>
  <cols>
    <col min="1" max="1" width="39.140625" bestFit="1" customWidth="1"/>
    <col min="2" max="4" width="13.42578125" bestFit="1" customWidth="1"/>
    <col min="5" max="6" width="15" bestFit="1" customWidth="1"/>
  </cols>
  <sheetData>
    <row r="1" spans="1:6" x14ac:dyDescent="0.25">
      <c r="B1" t="s">
        <v>50</v>
      </c>
      <c r="C1" t="s">
        <v>64</v>
      </c>
      <c r="D1" t="s">
        <v>65</v>
      </c>
      <c r="E1" t="s">
        <v>120</v>
      </c>
      <c r="F1" t="s">
        <v>121</v>
      </c>
    </row>
    <row r="2" spans="1:6" x14ac:dyDescent="0.25">
      <c r="A2" s="4" t="s">
        <v>104</v>
      </c>
    </row>
    <row r="3" spans="1:6" x14ac:dyDescent="0.25">
      <c r="A3" t="str">
        <f>IncomeStatement_Year1!A7</f>
        <v>Sales</v>
      </c>
      <c r="B3" s="22">
        <f>IncomeStatement_Year1!N7</f>
        <v>495024.39504271251</v>
      </c>
      <c r="C3" s="22">
        <f>IncomeStatement_Year2!N7</f>
        <v>507042.61446738016</v>
      </c>
      <c r="D3" s="22">
        <f>IncomeStatement_Year3!N7</f>
        <v>519352.61263989541</v>
      </c>
      <c r="E3" s="22">
        <f>IncomeStatement_Year4!N7</f>
        <v>531961.47337481356</v>
      </c>
      <c r="F3" s="22">
        <f>IncomeStatement_Year5!N7</f>
        <v>544876.45246778603</v>
      </c>
    </row>
    <row r="4" spans="1:6" x14ac:dyDescent="0.25">
      <c r="A4" s="4" t="s">
        <v>52</v>
      </c>
      <c r="B4" s="54">
        <f>SUM(B3:B3)</f>
        <v>495024.39504271251</v>
      </c>
      <c r="C4" s="54">
        <f>SUM(C3:C3)</f>
        <v>507042.61446738016</v>
      </c>
      <c r="D4" s="54">
        <f>SUM(D3:D3)</f>
        <v>519352.61263989541</v>
      </c>
      <c r="E4" s="54">
        <f t="shared" ref="E4:F4" si="0">SUM(E3:E3)</f>
        <v>531961.47337481356</v>
      </c>
      <c r="F4" s="54">
        <f t="shared" si="0"/>
        <v>544876.45246778603</v>
      </c>
    </row>
    <row r="5" spans="1:6" x14ac:dyDescent="0.25">
      <c r="B5" s="22"/>
      <c r="C5" s="22"/>
      <c r="D5" s="22"/>
      <c r="E5" s="22"/>
      <c r="F5" s="22"/>
    </row>
    <row r="6" spans="1:6" x14ac:dyDescent="0.25">
      <c r="A6" t="s">
        <v>127</v>
      </c>
      <c r="B6" s="22">
        <f>IncomeStatement_Year1!N10</f>
        <v>93698.020119424051</v>
      </c>
      <c r="C6" s="22">
        <f>IncomeStatement_Year2!N10</f>
        <v>97132.018732864628</v>
      </c>
      <c r="D6" s="22">
        <f>IncomeStatement_Year3!N10</f>
        <v>100691.87215585275</v>
      </c>
      <c r="E6" s="22">
        <f>IncomeStatement_Year4!N10</f>
        <v>104382.19292172613</v>
      </c>
      <c r="F6" s="22">
        <f>IncomeStatement_Year5!N10</f>
        <v>108207.76261150431</v>
      </c>
    </row>
    <row r="7" spans="1:6" x14ac:dyDescent="0.25">
      <c r="A7" t="s">
        <v>136</v>
      </c>
      <c r="B7" s="22">
        <f>IncomeStatement_Year1!N11</f>
        <v>60813.751298796298</v>
      </c>
      <c r="C7" s="22">
        <f>IncomeStatement_Year2!N11</f>
        <v>63012.96113188532</v>
      </c>
      <c r="D7" s="22">
        <f>IncomeStatement_Year3!N11</f>
        <v>65256.389168832517</v>
      </c>
      <c r="E7" s="22">
        <f>IncomeStatement_Year4!N11</f>
        <v>67544.78231178697</v>
      </c>
      <c r="F7" s="22">
        <f>IncomeStatement_Year5!N11</f>
        <v>69878.899049579049</v>
      </c>
    </row>
    <row r="8" spans="1:6" x14ac:dyDescent="0.25">
      <c r="A8" s="4" t="s">
        <v>53</v>
      </c>
      <c r="B8" s="54">
        <f>SUM(B6:B7)</f>
        <v>154511.77141822036</v>
      </c>
      <c r="C8" s="54">
        <f>SUM(C6:C7)</f>
        <v>160144.97986474994</v>
      </c>
      <c r="D8" s="54">
        <f>SUM(D6:D7)</f>
        <v>165948.26132468527</v>
      </c>
      <c r="E8" s="54">
        <f t="shared" ref="E8:F8" si="1">SUM(E6:E7)</f>
        <v>171926.97523351311</v>
      </c>
      <c r="F8" s="54">
        <f t="shared" si="1"/>
        <v>178086.66166108334</v>
      </c>
    </row>
    <row r="9" spans="1:6" x14ac:dyDescent="0.25">
      <c r="B9" s="22"/>
      <c r="C9" s="22"/>
      <c r="D9" s="22"/>
      <c r="E9" s="22"/>
      <c r="F9" s="22"/>
    </row>
    <row r="10" spans="1:6" x14ac:dyDescent="0.25">
      <c r="A10" s="4" t="s">
        <v>54</v>
      </c>
      <c r="B10" s="54">
        <f>B4-B8</f>
        <v>340512.62362449215</v>
      </c>
      <c r="C10" s="54">
        <f>C4-C8</f>
        <v>346897.63460263022</v>
      </c>
      <c r="D10" s="54">
        <f>D4-D8</f>
        <v>353404.35131521011</v>
      </c>
      <c r="E10" s="54">
        <f t="shared" ref="E10:F10" si="2">E4-E8</f>
        <v>360034.49814130046</v>
      </c>
      <c r="F10" s="54">
        <f t="shared" si="2"/>
        <v>366789.79080670269</v>
      </c>
    </row>
    <row r="11" spans="1:6" x14ac:dyDescent="0.25">
      <c r="B11" s="22"/>
      <c r="C11" s="22"/>
      <c r="D11" s="22"/>
      <c r="E11" s="22"/>
      <c r="F11" s="22"/>
    </row>
    <row r="12" spans="1:6" x14ac:dyDescent="0.25">
      <c r="A12" s="4" t="s">
        <v>17</v>
      </c>
      <c r="B12" s="22"/>
      <c r="C12" s="22"/>
      <c r="D12" s="22"/>
      <c r="E12" s="22"/>
      <c r="F12" s="22"/>
    </row>
    <row r="13" spans="1:6" x14ac:dyDescent="0.25">
      <c r="A13" t="str">
        <f>IncomeStatement_Year1!A18</f>
        <v>Salaries (Non Drivers)</v>
      </c>
      <c r="B13" s="22">
        <f>IncomeStatement_Year1!N18</f>
        <v>0</v>
      </c>
      <c r="C13" s="22">
        <f>IncomeStatement_Year2!N18</f>
        <v>0</v>
      </c>
      <c r="D13" s="22">
        <f>IncomeStatement_Year3!N18</f>
        <v>0</v>
      </c>
      <c r="E13" s="22">
        <f>IncomeStatement_Year4!N18</f>
        <v>0</v>
      </c>
      <c r="F13" s="22">
        <f>IncomeStatement_Year5!N18</f>
        <v>0</v>
      </c>
    </row>
    <row r="14" spans="1:6" x14ac:dyDescent="0.25">
      <c r="A14" t="str">
        <f>IncomeStatement_Year1!A19</f>
        <v>Insurance (Liability, Damage, and Cargo)</v>
      </c>
      <c r="B14" s="22">
        <f>IncomeStatement_Year1!N19</f>
        <v>35124.116908958633</v>
      </c>
      <c r="C14" s="22">
        <f>IncomeStatement_Year2!N19</f>
        <v>31133.485860489625</v>
      </c>
      <c r="D14" s="22">
        <f>IncomeStatement_Year3!N19</f>
        <v>27596.250870526026</v>
      </c>
      <c r="E14" s="22">
        <f>IncomeStatement_Year4!N19</f>
        <v>24460.899287717337</v>
      </c>
      <c r="F14" s="22">
        <f>IncomeStatement_Year5!N19</f>
        <v>21681.771077204485</v>
      </c>
    </row>
    <row r="15" spans="1:6" x14ac:dyDescent="0.25">
      <c r="A15" t="str">
        <f>IncomeStatement_Year1!A20</f>
        <v>Toll Road Payment</v>
      </c>
      <c r="B15" s="22">
        <f>IncomeStatement_Year1!N20</f>
        <v>2880</v>
      </c>
      <c r="C15" s="22">
        <f>IncomeStatement_Year2!N20</f>
        <v>2880</v>
      </c>
      <c r="D15" s="22">
        <f>IncomeStatement_Year3!N20</f>
        <v>2880</v>
      </c>
      <c r="E15" s="22">
        <f>IncomeStatement_Year4!N20</f>
        <v>2880</v>
      </c>
      <c r="F15" s="22">
        <f>IncomeStatement_Year5!N20</f>
        <v>2880</v>
      </c>
    </row>
    <row r="16" spans="1:6" x14ac:dyDescent="0.25">
      <c r="A16" t="str">
        <f>IncomeStatement_Year1!A21</f>
        <v>Weight and Scale Fees</v>
      </c>
      <c r="B16" s="22">
        <f>IncomeStatement_Year1!N21</f>
        <v>2400</v>
      </c>
      <c r="C16" s="22">
        <f>IncomeStatement_Year2!N21</f>
        <v>2400</v>
      </c>
      <c r="D16" s="22">
        <f>IncomeStatement_Year3!N21</f>
        <v>2400</v>
      </c>
      <c r="E16" s="22">
        <f>IncomeStatement_Year4!N21</f>
        <v>2400</v>
      </c>
      <c r="F16" s="22">
        <f>IncomeStatement_Year5!N21</f>
        <v>2400</v>
      </c>
    </row>
    <row r="17" spans="1:6" x14ac:dyDescent="0.25">
      <c r="A17" t="str">
        <f>IncomeStatement_Year1!A22</f>
        <v>Repair and Maintenance</v>
      </c>
      <c r="B17" s="22">
        <f>IncomeStatement_Year1!N22</f>
        <v>15853.128766496215</v>
      </c>
      <c r="C17" s="22">
        <f>IncomeStatement_Year2!N22</f>
        <v>17863.7022999931</v>
      </c>
      <c r="D17" s="22">
        <f>IncomeStatement_Year3!N22</f>
        <v>20129.266882458262</v>
      </c>
      <c r="E17" s="22">
        <f>IncomeStatement_Year4!N22</f>
        <v>22682.161761360487</v>
      </c>
      <c r="F17" s="22">
        <f>IncomeStatement_Year5!N22</f>
        <v>25558.82761020324</v>
      </c>
    </row>
    <row r="18" spans="1:6" x14ac:dyDescent="0.25">
      <c r="A18" t="str">
        <f>IncomeStatement_Year1!A23</f>
        <v>Tractor Trailer Notes</v>
      </c>
      <c r="B18" s="22">
        <f>IncomeStatement_Year1!N23</f>
        <v>83278.920000000027</v>
      </c>
      <c r="C18" s="22">
        <f>IncomeStatement_Year2!N23</f>
        <v>83278.920000000027</v>
      </c>
      <c r="D18" s="22">
        <f>IncomeStatement_Year3!N23</f>
        <v>83278.920000000027</v>
      </c>
      <c r="E18" s="22">
        <f>IncomeStatement_Year4!N23</f>
        <v>83278.920000000027</v>
      </c>
      <c r="F18" s="22">
        <f>IncomeStatement_Year5!N23</f>
        <v>83278.920000000027</v>
      </c>
    </row>
    <row r="19" spans="1:6" x14ac:dyDescent="0.25">
      <c r="A19" t="str">
        <f>IncomeStatement_Year1!A24</f>
        <v>Permits, Licenses, and Fuel Tax</v>
      </c>
      <c r="B19" s="22">
        <f>IncomeStatement_Year1!N24</f>
        <v>1200</v>
      </c>
      <c r="C19" s="22">
        <f>IncomeStatement_Year2!N24</f>
        <v>1200</v>
      </c>
      <c r="D19" s="22">
        <f>IncomeStatement_Year3!N24</f>
        <v>1200</v>
      </c>
      <c r="E19" s="22">
        <f>IncomeStatement_Year4!N24</f>
        <v>1200</v>
      </c>
      <c r="F19" s="22">
        <f>IncomeStatement_Year5!N24</f>
        <v>1200</v>
      </c>
    </row>
    <row r="20" spans="1:6" x14ac:dyDescent="0.25">
      <c r="A20" t="str">
        <f>IncomeStatement_Year1!A25</f>
        <v>Office, Admin, and Communication</v>
      </c>
      <c r="B20" s="22">
        <f>IncomeStatement_Year1!N25</f>
        <v>5000.04</v>
      </c>
      <c r="C20" s="22">
        <f>IncomeStatement_Year2!N25</f>
        <v>5000.04</v>
      </c>
      <c r="D20" s="22">
        <f>IncomeStatement_Year3!N25</f>
        <v>5000.04</v>
      </c>
      <c r="E20" s="22">
        <f>IncomeStatement_Year4!N25</f>
        <v>5000.04</v>
      </c>
      <c r="F20" s="22">
        <f>IncomeStatement_Year5!N25</f>
        <v>5000.04</v>
      </c>
    </row>
    <row r="21" spans="1:6" x14ac:dyDescent="0.25">
      <c r="A21" t="str">
        <f>IncomeStatement_Year1!A26</f>
        <v>Professional Service Fees (CPA, Legal, etc)</v>
      </c>
      <c r="B21" s="22">
        <f>IncomeStatement_Year1!N26</f>
        <v>3000</v>
      </c>
      <c r="C21" s="22">
        <f>IncomeStatement_Year2!N26</f>
        <v>3000</v>
      </c>
      <c r="D21" s="22">
        <f>IncomeStatement_Year3!N26</f>
        <v>3000</v>
      </c>
      <c r="E21" s="22">
        <f>IncomeStatement_Year4!N26</f>
        <v>3000</v>
      </c>
      <c r="F21" s="22">
        <f>IncomeStatement_Year5!N26</f>
        <v>3000</v>
      </c>
    </row>
    <row r="22" spans="1:6" x14ac:dyDescent="0.25">
      <c r="A22" t="str">
        <f>IncomeStatement_Year1!A27</f>
        <v>Reserve for Unforseen Expenses</v>
      </c>
      <c r="B22" s="22">
        <f>IncomeStatement_Year1!N27</f>
        <v>10000</v>
      </c>
      <c r="C22" s="22">
        <f>IncomeStatement_Year2!N27</f>
        <v>10000</v>
      </c>
      <c r="D22" s="22">
        <f>IncomeStatement_Year3!N27</f>
        <v>10000</v>
      </c>
      <c r="E22" s="22">
        <f>IncomeStatement_Year4!N27</f>
        <v>10000</v>
      </c>
      <c r="F22" s="22">
        <f>IncomeStatement_Year5!N27</f>
        <v>10000</v>
      </c>
    </row>
    <row r="23" spans="1:6" x14ac:dyDescent="0.25">
      <c r="A23" s="4" t="s">
        <v>59</v>
      </c>
      <c r="B23" s="54">
        <f>SUM(B13:B22)</f>
        <v>158736.2056754549</v>
      </c>
      <c r="C23" s="54">
        <f>SUM(C13:C22)</f>
        <v>156756.14816048276</v>
      </c>
      <c r="D23" s="54">
        <f>SUM(D13:D22)</f>
        <v>155484.47775298433</v>
      </c>
      <c r="E23" s="54">
        <f>SUM(E13:E22)</f>
        <v>154902.02104907786</v>
      </c>
      <c r="F23" s="54">
        <f>SUM(F13:F22)</f>
        <v>154999.55868740776</v>
      </c>
    </row>
    <row r="24" spans="1:6" x14ac:dyDescent="0.25">
      <c r="B24" s="22"/>
      <c r="C24" s="22"/>
      <c r="D24" s="22"/>
      <c r="E24" s="22"/>
      <c r="F24" s="22"/>
    </row>
    <row r="25" spans="1:6" x14ac:dyDescent="0.25">
      <c r="A25" s="4" t="s">
        <v>60</v>
      </c>
      <c r="B25" s="22">
        <f>IncomeStatement_Year1!N33</f>
        <v>124419.59765815159</v>
      </c>
      <c r="C25" s="22">
        <f>IncomeStatement_Year2!N33</f>
        <v>137706.87186775432</v>
      </c>
      <c r="D25" s="22">
        <f>IncomeStatement_Year3!N33</f>
        <v>150816.00535119916</v>
      </c>
      <c r="E25" s="22">
        <f>IncomeStatement_Year4!N33</f>
        <v>163801.80456363768</v>
      </c>
      <c r="F25" s="22">
        <f>IncomeStatement_Year5!N33</f>
        <v>176711.92766749783</v>
      </c>
    </row>
    <row r="26" spans="1:6" x14ac:dyDescent="0.25">
      <c r="B26" s="22"/>
      <c r="C26" s="22"/>
      <c r="D26" s="22"/>
      <c r="E26" s="22"/>
      <c r="F26" s="22"/>
    </row>
    <row r="27" spans="1:6" x14ac:dyDescent="0.25">
      <c r="A27" s="4" t="s">
        <v>61</v>
      </c>
      <c r="B27" s="22">
        <f>IncomeStatement_Year1!N35</f>
        <v>18662.939648722739</v>
      </c>
      <c r="C27" s="22">
        <f>IncomeStatement_Year2!N35</f>
        <v>20656.030780163146</v>
      </c>
      <c r="D27" s="22">
        <f>IncomeStatement_Year3!N35</f>
        <v>22622.400802679873</v>
      </c>
      <c r="E27" s="22">
        <f>IncomeStatement_Year3!N35</f>
        <v>22622.400802679873</v>
      </c>
      <c r="F27" s="22">
        <f>IncomeStatement_Year3!N35</f>
        <v>22622.400802679873</v>
      </c>
    </row>
    <row r="28" spans="1:6" x14ac:dyDescent="0.25">
      <c r="B28" s="22"/>
      <c r="C28" s="22"/>
      <c r="D28" s="22"/>
      <c r="E28" s="22"/>
      <c r="F28" s="22"/>
    </row>
    <row r="29" spans="1:6" x14ac:dyDescent="0.25">
      <c r="A29" s="4" t="s">
        <v>62</v>
      </c>
      <c r="B29" s="22">
        <f>IncomeStatement_Year1!N37</f>
        <v>105756.65800942884</v>
      </c>
      <c r="C29" s="22">
        <f>IncomeStatement_Year2!N37</f>
        <v>117050.84108759119</v>
      </c>
      <c r="D29" s="22">
        <f>IncomeStatement_Year3!N37</f>
        <v>128193.60454851927</v>
      </c>
      <c r="E29" s="22">
        <f>IncomeStatement_Year3!N37</f>
        <v>128193.60454851927</v>
      </c>
      <c r="F29" s="22">
        <f>IncomeStatement_Year3!N37</f>
        <v>128193.60454851927</v>
      </c>
    </row>
    <row r="34" spans="1:1" x14ac:dyDescent="0.25">
      <c r="A34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2"/>
  <sheetViews>
    <sheetView topLeftCell="B24" workbookViewId="0">
      <selection activeCell="L22" sqref="L22"/>
    </sheetView>
  </sheetViews>
  <sheetFormatPr defaultColWidth="8.85546875" defaultRowHeight="15" x14ac:dyDescent="0.25"/>
  <cols>
    <col min="1" max="1" width="19.42578125" customWidth="1"/>
    <col min="2" max="2" width="10" bestFit="1" customWidth="1"/>
    <col min="3" max="3" width="5.42578125" bestFit="1" customWidth="1"/>
    <col min="4" max="4" width="10" bestFit="1" customWidth="1"/>
    <col min="5" max="5" width="5.42578125" bestFit="1" customWidth="1"/>
    <col min="6" max="6" width="20.140625" bestFit="1" customWidth="1"/>
    <col min="7" max="7" width="5.42578125" bestFit="1" customWidth="1"/>
    <col min="8" max="8" width="11.42578125" bestFit="1" customWidth="1"/>
    <col min="9" max="9" width="5.42578125" bestFit="1" customWidth="1"/>
    <col min="10" max="10" width="11.42578125" bestFit="1" customWidth="1"/>
    <col min="11" max="11" width="5.42578125" customWidth="1"/>
    <col min="13" max="13" width="25.7109375" customWidth="1"/>
  </cols>
  <sheetData>
    <row r="2" spans="1:19" x14ac:dyDescent="0.25">
      <c r="A2" s="23" t="s">
        <v>115</v>
      </c>
      <c r="B2" s="23"/>
      <c r="C2" s="23"/>
      <c r="D2" s="23"/>
      <c r="E2" s="23"/>
      <c r="F2" s="23" t="s">
        <v>116</v>
      </c>
      <c r="G2" s="23"/>
      <c r="H2" s="23"/>
      <c r="I2" s="23"/>
      <c r="J2" s="23"/>
      <c r="K2" s="23"/>
      <c r="L2" s="23"/>
      <c r="M2" s="23"/>
      <c r="N2" s="23" t="s">
        <v>117</v>
      </c>
      <c r="O2" s="23"/>
      <c r="P2" s="23"/>
      <c r="Q2" s="23"/>
    </row>
    <row r="3" spans="1:19" ht="15.75" thickBot="1" x14ac:dyDescent="0.3">
      <c r="A3" s="30"/>
      <c r="E3" s="30"/>
      <c r="M3" s="30"/>
    </row>
    <row r="4" spans="1:19" x14ac:dyDescent="0.25">
      <c r="A4" s="75" t="s">
        <v>108</v>
      </c>
      <c r="B4" s="75"/>
      <c r="C4" s="75"/>
      <c r="D4" s="75"/>
      <c r="E4" s="75"/>
      <c r="F4" s="75"/>
      <c r="G4" s="75"/>
      <c r="H4" s="44"/>
      <c r="I4" s="44"/>
      <c r="J4" s="44"/>
      <c r="K4" s="44"/>
      <c r="M4" s="76" t="s">
        <v>107</v>
      </c>
      <c r="N4" s="77"/>
      <c r="O4" s="77"/>
      <c r="P4" s="77"/>
      <c r="Q4" s="77"/>
      <c r="R4" s="78"/>
    </row>
    <row r="5" spans="1:19" x14ac:dyDescent="0.25">
      <c r="M5" s="31"/>
      <c r="N5" s="32"/>
      <c r="O5" s="32"/>
      <c r="P5" s="32"/>
      <c r="Q5" s="32"/>
      <c r="R5" s="33"/>
    </row>
    <row r="6" spans="1:19" x14ac:dyDescent="0.25">
      <c r="B6" s="24">
        <v>2017</v>
      </c>
      <c r="C6" s="24"/>
      <c r="D6" s="24">
        <v>2018</v>
      </c>
      <c r="E6" s="24"/>
      <c r="F6" s="24">
        <v>2019</v>
      </c>
      <c r="H6" s="23">
        <v>2020</v>
      </c>
      <c r="J6" s="44">
        <v>2021</v>
      </c>
      <c r="M6" s="34"/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</row>
    <row r="7" spans="1:19" x14ac:dyDescent="0.25">
      <c r="A7" t="s">
        <v>105</v>
      </c>
      <c r="B7" s="22">
        <f>AnnualSummary!B3</f>
        <v>495024.39504271251</v>
      </c>
      <c r="C7" s="27">
        <f>B7/B7</f>
        <v>1</v>
      </c>
      <c r="D7" s="22">
        <f>AnnualSummary!C3</f>
        <v>507042.61446738016</v>
      </c>
      <c r="E7" s="27">
        <f>D7/D7</f>
        <v>1</v>
      </c>
      <c r="F7" s="22">
        <f>AnnualSummary!D3</f>
        <v>519352.61263989541</v>
      </c>
      <c r="G7" s="27">
        <f>F7/F7</f>
        <v>1</v>
      </c>
      <c r="H7" s="22">
        <f>AnnualSummary!E3</f>
        <v>531961.47337481356</v>
      </c>
      <c r="I7" s="27">
        <f>H7/H7</f>
        <v>1</v>
      </c>
      <c r="J7" s="22">
        <f>AnnualSummary!F3</f>
        <v>544876.45246778603</v>
      </c>
      <c r="K7" s="27">
        <f>J7/J7</f>
        <v>1</v>
      </c>
      <c r="M7" s="36" t="s">
        <v>112</v>
      </c>
      <c r="N7" s="37" t="s">
        <v>113</v>
      </c>
      <c r="O7" s="38">
        <f>(AnnualSummary!C3-AnnualSummary!B3)/AnnualSummary!B3</f>
        <v>2.427803466863623E-2</v>
      </c>
      <c r="P7" s="38">
        <f>(AnnualSummary!D3-AnnualSummary!C3)/AnnualSummary!C3</f>
        <v>2.4278034668636699E-2</v>
      </c>
      <c r="Q7" s="38">
        <f>(AnnualSummary!E3-AnnualSummary!D3)/AnnualSummary!D3</f>
        <v>2.4278034668636175E-2</v>
      </c>
      <c r="R7" s="38">
        <f>(AnnualSummary!F3-AnnualSummary!E3)/AnnualSummary!E3</f>
        <v>2.4278034668636112E-2</v>
      </c>
    </row>
    <row r="8" spans="1:19" x14ac:dyDescent="0.25">
      <c r="A8" t="s">
        <v>53</v>
      </c>
      <c r="B8" s="25">
        <f>AnnualSummary!B8</f>
        <v>154511.77141822036</v>
      </c>
      <c r="C8" s="28">
        <f>B8/B7</f>
        <v>0.31212961010717166</v>
      </c>
      <c r="D8" s="25">
        <f>AnnualSummary!C8</f>
        <v>160144.97986474994</v>
      </c>
      <c r="E8" s="28">
        <f>D8/D7</f>
        <v>0.31584126322986333</v>
      </c>
      <c r="F8" s="25">
        <f>AnnualSummary!D8</f>
        <v>165948.26132468527</v>
      </c>
      <c r="G8" s="28">
        <f>F8/F7</f>
        <v>0.3195290777130434</v>
      </c>
      <c r="H8" s="25">
        <f>AnnualSummary!E8</f>
        <v>171926.97523351311</v>
      </c>
      <c r="I8" s="28">
        <f>H8/H7</f>
        <v>0.3231944113222941</v>
      </c>
      <c r="J8" s="25">
        <f>AnnualSummary!F8</f>
        <v>178086.66166108334</v>
      </c>
      <c r="K8" s="28">
        <f>J8/J7</f>
        <v>0.32683860874243253</v>
      </c>
      <c r="M8" s="36" t="s">
        <v>109</v>
      </c>
      <c r="N8" s="38">
        <f>'Dashboard Example'!B9/'Dashboard Example'!B7</f>
        <v>0.68787038989282834</v>
      </c>
      <c r="O8" s="38">
        <f>'Dashboard Example'!D9/'Dashboard Example'!D7</f>
        <v>0.68415873677013661</v>
      </c>
      <c r="P8" s="38">
        <f>'Dashboard Example'!F9/'Dashboard Example'!F7</f>
        <v>0.68047092228695649</v>
      </c>
      <c r="Q8" s="38">
        <f>'Dashboard Example'!H9/'Dashboard Example'!H7</f>
        <v>0.6768055886777059</v>
      </c>
      <c r="R8" s="39">
        <f>'Dashboard Example'!J9/'Dashboard Example'!J7</f>
        <v>0.67316139125756747</v>
      </c>
    </row>
    <row r="9" spans="1:19" x14ac:dyDescent="0.25">
      <c r="A9" t="s">
        <v>106</v>
      </c>
      <c r="B9" s="22">
        <f>B7-B8</f>
        <v>340512.62362449215</v>
      </c>
      <c r="C9" s="27">
        <f>B9/B7</f>
        <v>0.68787038989282834</v>
      </c>
      <c r="D9" s="22">
        <f>D7-D8</f>
        <v>346897.63460263022</v>
      </c>
      <c r="E9" s="27">
        <f>D9/D7</f>
        <v>0.68415873677013661</v>
      </c>
      <c r="F9" s="22">
        <f>F7-F8</f>
        <v>353404.35131521011</v>
      </c>
      <c r="G9" s="27">
        <f>F9/F7</f>
        <v>0.68047092228695649</v>
      </c>
      <c r="H9" s="22">
        <f>H7-H8</f>
        <v>360034.49814130046</v>
      </c>
      <c r="I9" s="27">
        <f>H9/H7</f>
        <v>0.6768055886777059</v>
      </c>
      <c r="J9" s="22">
        <f>J7-J8</f>
        <v>366789.79080670269</v>
      </c>
      <c r="K9" s="27">
        <f>J9/J7</f>
        <v>0.67316139125756747</v>
      </c>
      <c r="M9" s="36" t="s">
        <v>110</v>
      </c>
      <c r="N9" s="38">
        <f>'Dashboard Example'!B11/'Dashboard Example'!B7</f>
        <v>0.21363928539381127</v>
      </c>
      <c r="O9" s="38">
        <f>'Dashboard Example'!D11/'Dashboard Example'!D7</f>
        <v>0.23085010558835678</v>
      </c>
      <c r="P9" s="38">
        <f>'Dashboard Example'!F11/'Dashboard Example'!F7</f>
        <v>0.24683346425640326</v>
      </c>
      <c r="Q9" s="38">
        <f>'Dashboard Example'!H11/'Dashboard Example'!H7</f>
        <v>0.24098287369430535</v>
      </c>
      <c r="R9" s="33">
        <f>'Dashboard Example'!J11/'Dashboard Example'!J7</f>
        <v>0.23527095723795899</v>
      </c>
    </row>
    <row r="10" spans="1:19" ht="15.75" thickBot="1" x14ac:dyDescent="0.3">
      <c r="A10" t="s">
        <v>17</v>
      </c>
      <c r="B10" s="25">
        <f>AnnualSummary!B23</f>
        <v>158736.2056754549</v>
      </c>
      <c r="C10" s="28">
        <f>B10/B7</f>
        <v>0.32066340015780143</v>
      </c>
      <c r="D10" s="25">
        <f>AnnualSummary!C23</f>
        <v>156756.14816048276</v>
      </c>
      <c r="E10" s="28">
        <f>D10/D7</f>
        <v>0.3091577387931117</v>
      </c>
      <c r="F10" s="25">
        <f>AnnualSummary!D23</f>
        <v>155484.47775298433</v>
      </c>
      <c r="G10" s="28">
        <f>F10/F7</f>
        <v>0.29938133354648766</v>
      </c>
      <c r="H10" s="25">
        <f>AnnualSummary!E23</f>
        <v>154902.02104907786</v>
      </c>
      <c r="I10" s="28">
        <f>H10/H7</f>
        <v>0.29119030005380819</v>
      </c>
      <c r="J10" s="25">
        <f>AnnualSummary!F23</f>
        <v>154999.55868740776</v>
      </c>
      <c r="K10" s="28">
        <f>J10/J7</f>
        <v>0.28446734665336187</v>
      </c>
      <c r="M10" s="40" t="s">
        <v>111</v>
      </c>
      <c r="N10" s="41">
        <f>IncomeStatement_Year1!N33/(CashFlowStatement_Year1!O26+CashFlowStatement_Year1!O27)</f>
        <v>1.4609951506545169</v>
      </c>
      <c r="O10" s="41">
        <f>IncomeStatement_Year2!N33/(CashFlowStatement_Year2!N26+CashFlowStatement_Year2!N27)</f>
        <v>1.6170207571589159</v>
      </c>
      <c r="P10" s="41">
        <f>IncomeStatement_Year3!N33/(CashFlowStatement_Year3!N26+CashFlowStatement_Year3!N27)</f>
        <v>1.7709545490139391</v>
      </c>
      <c r="Q10" s="41">
        <f>IncomeStatement_Year4!N33/(CashFlowStatement_Year4!N26+CashFlowStatement_Year4!N27)</f>
        <v>1.9234400901492907</v>
      </c>
      <c r="R10" s="45">
        <f>IncomeStatement_Year5!N33/(CashFlowStatement_Year5!N26+CashFlowStatement_Year5!N27)</f>
        <v>2.0750370057808274</v>
      </c>
      <c r="S10" s="30" t="s">
        <v>114</v>
      </c>
    </row>
    <row r="11" spans="1:19" ht="15.75" thickBot="1" x14ac:dyDescent="0.3">
      <c r="A11" t="s">
        <v>62</v>
      </c>
      <c r="B11" s="26">
        <f>AnnualSummary!B29</f>
        <v>105756.65800942884</v>
      </c>
      <c r="C11" s="29">
        <f>B11/B7</f>
        <v>0.21363928539381127</v>
      </c>
      <c r="D11" s="26">
        <f>AnnualSummary!C29</f>
        <v>117050.84108759119</v>
      </c>
      <c r="E11" s="29">
        <f>D11/D7</f>
        <v>0.23085010558835678</v>
      </c>
      <c r="F11" s="26">
        <f>AnnualSummary!D29</f>
        <v>128193.60454851927</v>
      </c>
      <c r="G11" s="29">
        <f>F11/F7</f>
        <v>0.24683346425640326</v>
      </c>
      <c r="H11" s="26">
        <f>AnnualSummary!E29</f>
        <v>128193.60454851927</v>
      </c>
      <c r="I11" s="29">
        <f>H11/H7</f>
        <v>0.24098287369430535</v>
      </c>
      <c r="J11" s="26">
        <f>AnnualSummary!F29</f>
        <v>128193.60454851927</v>
      </c>
      <c r="K11" s="29">
        <f>J11/J7</f>
        <v>0.23527095723795899</v>
      </c>
    </row>
    <row r="12" spans="1:19" ht="15.75" thickTop="1" x14ac:dyDescent="0.25">
      <c r="B12" s="42"/>
      <c r="C12" s="38"/>
      <c r="D12" s="42"/>
      <c r="E12" s="38"/>
      <c r="F12" s="42"/>
      <c r="G12" s="38"/>
      <c r="H12" s="38"/>
      <c r="I12" s="38"/>
      <c r="J12" s="38"/>
      <c r="K12" s="38"/>
    </row>
  </sheetData>
  <mergeCells count="2">
    <mergeCell ref="A4:G4"/>
    <mergeCell ref="M4:R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workbookViewId="0"/>
  </sheetViews>
  <sheetFormatPr defaultColWidth="8.85546875" defaultRowHeight="15" x14ac:dyDescent="0.25"/>
  <sheetData>
    <row r="1" spans="1:2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100" spans="1:37" x14ac:dyDescent="0.25">
      <c r="B100" s="16">
        <v>1</v>
      </c>
      <c r="C100" s="16">
        <v>2</v>
      </c>
      <c r="D100" s="16">
        <v>3</v>
      </c>
      <c r="E100" s="16">
        <v>4</v>
      </c>
      <c r="F100" s="16">
        <v>5</v>
      </c>
      <c r="G100" s="16">
        <v>6</v>
      </c>
      <c r="H100" s="16">
        <v>7</v>
      </c>
      <c r="I100" s="16">
        <v>8</v>
      </c>
      <c r="J100" s="16">
        <v>9</v>
      </c>
      <c r="K100" s="16">
        <v>10</v>
      </c>
      <c r="L100" s="16">
        <v>11</v>
      </c>
      <c r="M100" s="16">
        <v>12</v>
      </c>
      <c r="N100" s="16">
        <v>13</v>
      </c>
      <c r="O100" s="16">
        <v>14</v>
      </c>
      <c r="P100" s="16">
        <v>15</v>
      </c>
      <c r="Q100" s="16">
        <v>16</v>
      </c>
      <c r="R100" s="16">
        <v>17</v>
      </c>
      <c r="S100" s="16">
        <v>18</v>
      </c>
      <c r="T100" s="16">
        <v>19</v>
      </c>
      <c r="U100" s="16">
        <v>20</v>
      </c>
      <c r="V100" s="16">
        <v>21</v>
      </c>
      <c r="W100" s="16">
        <v>22</v>
      </c>
      <c r="X100" s="16">
        <v>23</v>
      </c>
      <c r="Y100" s="16">
        <v>24</v>
      </c>
      <c r="Z100" s="16">
        <v>25</v>
      </c>
      <c r="AA100" s="16">
        <v>26</v>
      </c>
      <c r="AB100" s="16">
        <v>27</v>
      </c>
      <c r="AC100" s="16">
        <v>28</v>
      </c>
      <c r="AD100" s="16">
        <v>29</v>
      </c>
      <c r="AE100" s="16">
        <v>30</v>
      </c>
      <c r="AF100" s="16">
        <v>31</v>
      </c>
      <c r="AG100" s="16">
        <v>32</v>
      </c>
      <c r="AH100" s="16">
        <v>33</v>
      </c>
      <c r="AI100" s="16">
        <v>34</v>
      </c>
      <c r="AJ100" s="16">
        <v>35</v>
      </c>
      <c r="AK100" s="16">
        <v>36</v>
      </c>
    </row>
    <row r="101" spans="1:37" x14ac:dyDescent="0.25">
      <c r="A101" s="16" t="s">
        <v>62</v>
      </c>
      <c r="B101" s="16">
        <f>IncomeStatement_Year1!B37</f>
        <v>-921.65830406022883</v>
      </c>
      <c r="C101" s="16">
        <f>IncomeStatement_Year1!C37</f>
        <v>9182.0427763064199</v>
      </c>
      <c r="D101" s="16">
        <f>IncomeStatement_Year1!D37</f>
        <v>9285.6104321603652</v>
      </c>
      <c r="E101" s="16">
        <f>IncomeStatement_Year1!E37</f>
        <v>9389.0480300392028</v>
      </c>
      <c r="F101" s="16">
        <f>IncomeStatement_Year1!F37</f>
        <v>9492.3589024984558</v>
      </c>
      <c r="G101" s="16">
        <f>IncomeStatement_Year1!G37</f>
        <v>9595.5463483577132</v>
      </c>
      <c r="H101" s="16">
        <f>IncomeStatement_Year1!H37</f>
        <v>9698.6136329431847</v>
      </c>
      <c r="I101" s="16">
        <f>IncomeStatement_Year1!I37</f>
        <v>9801.5639883260283</v>
      </c>
      <c r="J101" s="16">
        <f>IncomeStatement_Year1!J37</f>
        <v>9904.4006135570035</v>
      </c>
      <c r="K101" s="16">
        <f>IncomeStatement_Year1!K37</f>
        <v>10007.126674897207</v>
      </c>
      <c r="L101" s="16">
        <f>IncomeStatement_Year1!L37</f>
        <v>10109.745306044895</v>
      </c>
      <c r="M101" s="16">
        <f>IncomeStatement_Year1!M37</f>
        <v>10212.259608358594</v>
      </c>
      <c r="N101" s="16">
        <f>IncomeStatement_Year2!B37</f>
        <v>27.13377699681314</v>
      </c>
      <c r="O101" s="16">
        <f>IncomeStatement_Year2!C37</f>
        <v>10129.327149505112</v>
      </c>
      <c r="P101" s="16">
        <f>IncomeStatement_Year2!D37</f>
        <v>10231.425183942119</v>
      </c>
      <c r="Q101" s="16">
        <f>IncomeStatement_Year2!E37</f>
        <v>10333.430854340626</v>
      </c>
      <c r="R101" s="16">
        <f>IncomeStatement_Year2!F37</f>
        <v>10435.347103452095</v>
      </c>
      <c r="S101" s="16">
        <f>IncomeStatement_Year2!G37</f>
        <v>10537.176842947196</v>
      </c>
      <c r="T101" s="16">
        <f>IncomeStatement_Year2!H37</f>
        <v>10638.922953612557</v>
      </c>
      <c r="U101" s="16">
        <f>IncomeStatement_Year2!I37</f>
        <v>10740.588285543909</v>
      </c>
      <c r="V101" s="16">
        <f>IncomeStatement_Year2!J37</f>
        <v>10842.175658335527</v>
      </c>
      <c r="W101" s="16">
        <f>IncomeStatement_Year2!K37</f>
        <v>10943.687861265986</v>
      </c>
      <c r="X101" s="16">
        <f>IncomeStatement_Year2!L37</f>
        <v>11045.127653480387</v>
      </c>
      <c r="Y101" s="16">
        <f>IncomeStatement_Year2!M37</f>
        <v>11146.49776416886</v>
      </c>
      <c r="Z101" s="16">
        <f>IncomeStatement_Year3!B37</f>
        <v>961.0233600381905</v>
      </c>
      <c r="AA101" s="16">
        <f>IncomeStatement_Year3!C37</f>
        <v>11062.139262932165</v>
      </c>
      <c r="AB101" s="16">
        <f>IncomeStatement_Year3!D37</f>
        <v>11163.193370958736</v>
      </c>
      <c r="AC101" s="16">
        <f>IncomeStatement_Year3!E37</f>
        <v>11264.188295078669</v>
      </c>
      <c r="AD101" s="16">
        <f>IncomeStatement_Year3!F37</f>
        <v>11365.126617136479</v>
      </c>
      <c r="AE101" s="16">
        <f>IncomeStatement_Year3!G37</f>
        <v>11466.010890017571</v>
      </c>
      <c r="AF101" s="16">
        <f>IncomeStatement_Year3!H37</f>
        <v>11566.843637801765</v>
      </c>
      <c r="AG101" s="16">
        <f>IncomeStatement_Year3!I37</f>
        <v>11667.627355913337</v>
      </c>
      <c r="AH101" s="16">
        <f>IncomeStatement_Year3!J37</f>
        <v>11768.364511267639</v>
      </c>
      <c r="AI101" s="16">
        <f>IncomeStatement_Year3!K37</f>
        <v>11869.057542414046</v>
      </c>
      <c r="AJ101" s="16">
        <f>IncomeStatement_Year3!L37</f>
        <v>11969.708859675608</v>
      </c>
      <c r="AK101" s="16">
        <f>IncomeStatement_Year3!M37</f>
        <v>12070.320845285083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44"/>
  <sheetViews>
    <sheetView topLeftCell="A26" workbookViewId="0">
      <selection activeCell="C45" sqref="C45"/>
    </sheetView>
  </sheetViews>
  <sheetFormatPr defaultColWidth="8.85546875" defaultRowHeight="15" x14ac:dyDescent="0.25"/>
  <cols>
    <col min="1" max="1" width="54.42578125" customWidth="1"/>
    <col min="2" max="2" width="12.42578125" bestFit="1" customWidth="1"/>
    <col min="3" max="48" width="11.42578125" bestFit="1" customWidth="1"/>
    <col min="49" max="61" width="12.42578125" bestFit="1" customWidth="1"/>
  </cols>
  <sheetData>
    <row r="2" spans="1:61" x14ac:dyDescent="0.25">
      <c r="A2" t="s">
        <v>126</v>
      </c>
      <c r="B2" s="65">
        <v>3000</v>
      </c>
    </row>
    <row r="3" spans="1:61" x14ac:dyDescent="0.25">
      <c r="A3" t="s">
        <v>128</v>
      </c>
      <c r="B3" s="50">
        <v>1.7</v>
      </c>
    </row>
    <row r="5" spans="1:61" x14ac:dyDescent="0.25">
      <c r="A5" t="s">
        <v>15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  <c r="AL5">
        <v>37</v>
      </c>
      <c r="AM5">
        <v>38</v>
      </c>
      <c r="AN5">
        <v>39</v>
      </c>
      <c r="AO5">
        <v>40</v>
      </c>
      <c r="AP5">
        <v>41</v>
      </c>
      <c r="AQ5">
        <v>42</v>
      </c>
      <c r="AR5">
        <v>43</v>
      </c>
      <c r="AS5">
        <v>44</v>
      </c>
      <c r="AT5">
        <v>45</v>
      </c>
      <c r="AU5">
        <v>46</v>
      </c>
      <c r="AV5">
        <v>47</v>
      </c>
      <c r="AW5">
        <v>48</v>
      </c>
      <c r="AX5">
        <v>49</v>
      </c>
      <c r="AY5">
        <v>50</v>
      </c>
      <c r="AZ5">
        <v>51</v>
      </c>
      <c r="BA5">
        <v>52</v>
      </c>
      <c r="BB5">
        <v>53</v>
      </c>
      <c r="BC5">
        <v>54</v>
      </c>
      <c r="BD5">
        <v>55</v>
      </c>
      <c r="BE5">
        <v>56</v>
      </c>
      <c r="BF5">
        <v>57</v>
      </c>
      <c r="BG5">
        <v>58</v>
      </c>
      <c r="BH5">
        <v>59</v>
      </c>
      <c r="BI5">
        <v>60</v>
      </c>
    </row>
    <row r="8" spans="1:61" x14ac:dyDescent="0.25">
      <c r="A8" s="23" t="s">
        <v>122</v>
      </c>
    </row>
    <row r="10" spans="1:61" x14ac:dyDescent="0.25">
      <c r="A10" s="59" t="s">
        <v>125</v>
      </c>
      <c r="B10" s="20">
        <v>2</v>
      </c>
      <c r="C10" s="20">
        <v>2</v>
      </c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2</v>
      </c>
      <c r="S10" s="20">
        <v>2</v>
      </c>
      <c r="T10" s="20">
        <v>2</v>
      </c>
      <c r="U10" s="20">
        <v>2</v>
      </c>
      <c r="V10" s="20">
        <v>2</v>
      </c>
      <c r="W10" s="20">
        <v>2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2</v>
      </c>
      <c r="AO10" s="20">
        <v>2</v>
      </c>
      <c r="AP10" s="20">
        <v>2</v>
      </c>
      <c r="AQ10" s="20">
        <v>2</v>
      </c>
      <c r="AR10" s="20">
        <v>2</v>
      </c>
      <c r="AS10" s="20">
        <v>2</v>
      </c>
      <c r="AT10" s="20">
        <v>2</v>
      </c>
      <c r="AU10" s="20">
        <v>2</v>
      </c>
      <c r="AV10" s="20">
        <v>2</v>
      </c>
      <c r="AW10" s="20">
        <v>2</v>
      </c>
      <c r="AX10" s="20">
        <v>2</v>
      </c>
      <c r="AY10" s="20">
        <v>2</v>
      </c>
      <c r="AZ10" s="20">
        <v>2</v>
      </c>
      <c r="BA10" s="20">
        <v>2</v>
      </c>
      <c r="BB10" s="20">
        <v>2</v>
      </c>
      <c r="BC10" s="20">
        <v>2</v>
      </c>
      <c r="BD10" s="20">
        <v>2</v>
      </c>
      <c r="BE10" s="20">
        <v>2</v>
      </c>
      <c r="BF10" s="20">
        <v>2</v>
      </c>
      <c r="BG10" s="20">
        <v>2</v>
      </c>
      <c r="BH10" s="20">
        <v>2</v>
      </c>
      <c r="BI10" s="20">
        <v>2</v>
      </c>
    </row>
    <row r="11" spans="1:61" x14ac:dyDescent="0.25">
      <c r="A11" s="59" t="s">
        <v>130</v>
      </c>
      <c r="B11" s="66">
        <f>$B$2*4</f>
        <v>12000</v>
      </c>
      <c r="C11" s="64">
        <f>B11*(1+B12)</f>
        <v>12011.999999999998</v>
      </c>
      <c r="D11" s="64">
        <f>C11*(1+C12)</f>
        <v>12024.011999999997</v>
      </c>
      <c r="E11" s="64">
        <f t="shared" ref="E11:BI11" si="0">D11*(1+D12)</f>
        <v>12036.036011999995</v>
      </c>
      <c r="F11" s="64">
        <f t="shared" si="0"/>
        <v>12048.072048011994</v>
      </c>
      <c r="G11" s="64">
        <f t="shared" si="0"/>
        <v>12060.120120060004</v>
      </c>
      <c r="H11" s="64">
        <f t="shared" si="0"/>
        <v>12072.180240180063</v>
      </c>
      <c r="I11" s="64">
        <f t="shared" si="0"/>
        <v>12084.252420420242</v>
      </c>
      <c r="J11" s="64">
        <f t="shared" si="0"/>
        <v>12096.33667284066</v>
      </c>
      <c r="K11" s="64">
        <f t="shared" si="0"/>
        <v>12108.433009513499</v>
      </c>
      <c r="L11" s="64">
        <f t="shared" si="0"/>
        <v>12120.541442523012</v>
      </c>
      <c r="M11" s="64">
        <f t="shared" si="0"/>
        <v>12132.661983965534</v>
      </c>
      <c r="N11" s="64">
        <f t="shared" si="0"/>
        <v>12144.794645949498</v>
      </c>
      <c r="O11" s="64">
        <f t="shared" si="0"/>
        <v>12156.939440595446</v>
      </c>
      <c r="P11" s="64">
        <f t="shared" si="0"/>
        <v>12169.096380036041</v>
      </c>
      <c r="Q11" s="64">
        <f t="shared" si="0"/>
        <v>12181.265476416074</v>
      </c>
      <c r="R11" s="64">
        <f t="shared" si="0"/>
        <v>12193.446741892489</v>
      </c>
      <c r="S11" s="64">
        <f t="shared" si="0"/>
        <v>12205.640188634379</v>
      </c>
      <c r="T11" s="64">
        <f t="shared" si="0"/>
        <v>12217.845828823012</v>
      </c>
      <c r="U11" s="64">
        <f t="shared" si="0"/>
        <v>12230.063674651834</v>
      </c>
      <c r="V11" s="64">
        <f t="shared" si="0"/>
        <v>12242.293738326485</v>
      </c>
      <c r="W11" s="64">
        <f t="shared" si="0"/>
        <v>12254.536032064811</v>
      </c>
      <c r="X11" s="64">
        <f t="shared" si="0"/>
        <v>12266.790568096874</v>
      </c>
      <c r="Y11" s="64">
        <f t="shared" si="0"/>
        <v>12279.05735866497</v>
      </c>
      <c r="Z11" s="64">
        <f t="shared" si="0"/>
        <v>12291.336416023634</v>
      </c>
      <c r="AA11" s="64">
        <f t="shared" si="0"/>
        <v>12303.627752439657</v>
      </c>
      <c r="AB11" s="64">
        <f t="shared" si="0"/>
        <v>12315.931380192096</v>
      </c>
      <c r="AC11" s="64">
        <f t="shared" si="0"/>
        <v>12328.247311572288</v>
      </c>
      <c r="AD11" s="64">
        <f t="shared" si="0"/>
        <v>12340.575558883858</v>
      </c>
      <c r="AE11" s="64">
        <f t="shared" si="0"/>
        <v>12352.916134442741</v>
      </c>
      <c r="AF11" s="64">
        <f t="shared" si="0"/>
        <v>12365.269050577182</v>
      </c>
      <c r="AG11" s="64">
        <f t="shared" si="0"/>
        <v>12377.634319627758</v>
      </c>
      <c r="AH11" s="64">
        <f t="shared" si="0"/>
        <v>12390.011953947384</v>
      </c>
      <c r="AI11" s="64">
        <f t="shared" si="0"/>
        <v>12402.40196590133</v>
      </c>
      <c r="AJ11" s="64">
        <f t="shared" si="0"/>
        <v>12414.804367867229</v>
      </c>
      <c r="AK11" s="64">
        <f t="shared" si="0"/>
        <v>12427.219172235094</v>
      </c>
      <c r="AL11" s="64">
        <f t="shared" si="0"/>
        <v>12439.646391407328</v>
      </c>
      <c r="AM11" s="64">
        <f t="shared" si="0"/>
        <v>12452.086037798734</v>
      </c>
      <c r="AN11" s="64">
        <f t="shared" si="0"/>
        <v>12464.538123836532</v>
      </c>
      <c r="AO11" s="64">
        <f t="shared" si="0"/>
        <v>12477.002661960367</v>
      </c>
      <c r="AP11" s="64">
        <f t="shared" si="0"/>
        <v>12489.479664622326</v>
      </c>
      <c r="AQ11" s="64">
        <f t="shared" si="0"/>
        <v>12501.969144286946</v>
      </c>
      <c r="AR11" s="64">
        <f t="shared" si="0"/>
        <v>12514.471113431231</v>
      </c>
      <c r="AS11" s="64">
        <f t="shared" si="0"/>
        <v>12526.98558454466</v>
      </c>
      <c r="AT11" s="64">
        <f t="shared" si="0"/>
        <v>12539.512570129204</v>
      </c>
      <c r="AU11" s="64">
        <f t="shared" si="0"/>
        <v>12552.052082699331</v>
      </c>
      <c r="AV11" s="64">
        <f t="shared" si="0"/>
        <v>12564.604134782028</v>
      </c>
      <c r="AW11" s="64">
        <f t="shared" si="0"/>
        <v>12577.168738916809</v>
      </c>
      <c r="AX11" s="64">
        <f t="shared" si="0"/>
        <v>12589.745907655724</v>
      </c>
      <c r="AY11" s="64">
        <f t="shared" si="0"/>
        <v>12602.335653563379</v>
      </c>
      <c r="AZ11" s="64">
        <f t="shared" si="0"/>
        <v>12614.937989216942</v>
      </c>
      <c r="BA11" s="64">
        <f t="shared" si="0"/>
        <v>12627.552927206158</v>
      </c>
      <c r="BB11" s="64">
        <f t="shared" si="0"/>
        <v>12640.180480133362</v>
      </c>
      <c r="BC11" s="64">
        <f t="shared" si="0"/>
        <v>12652.820660613494</v>
      </c>
      <c r="BD11" s="64">
        <f t="shared" si="0"/>
        <v>12665.473481274106</v>
      </c>
      <c r="BE11" s="64">
        <f t="shared" si="0"/>
        <v>12678.138954755379</v>
      </c>
      <c r="BF11" s="64">
        <f t="shared" si="0"/>
        <v>12690.817093710133</v>
      </c>
      <c r="BG11" s="64">
        <f t="shared" si="0"/>
        <v>12703.507910803843</v>
      </c>
      <c r="BH11" s="64">
        <f t="shared" si="0"/>
        <v>12716.211418714645</v>
      </c>
      <c r="BI11" s="64">
        <f t="shared" si="0"/>
        <v>12728.927630133359</v>
      </c>
    </row>
    <row r="12" spans="1:61" x14ac:dyDescent="0.25">
      <c r="A12" s="30" t="s">
        <v>123</v>
      </c>
      <c r="B12" s="68">
        <v>1E-3</v>
      </c>
      <c r="C12" s="68">
        <v>1E-3</v>
      </c>
      <c r="D12" s="68">
        <v>1E-3</v>
      </c>
      <c r="E12" s="68">
        <v>1E-3</v>
      </c>
      <c r="F12" s="68">
        <v>1E-3</v>
      </c>
      <c r="G12" s="68">
        <v>1E-3</v>
      </c>
      <c r="H12" s="68">
        <v>1E-3</v>
      </c>
      <c r="I12" s="68">
        <v>1E-3</v>
      </c>
      <c r="J12" s="68">
        <v>1E-3</v>
      </c>
      <c r="K12" s="68">
        <v>1E-3</v>
      </c>
      <c r="L12" s="68">
        <v>1E-3</v>
      </c>
      <c r="M12" s="68">
        <v>1E-3</v>
      </c>
      <c r="N12" s="68">
        <v>1E-3</v>
      </c>
      <c r="O12" s="68">
        <v>1E-3</v>
      </c>
      <c r="P12" s="68">
        <v>1E-3</v>
      </c>
      <c r="Q12" s="68">
        <v>1E-3</v>
      </c>
      <c r="R12" s="68">
        <v>1E-3</v>
      </c>
      <c r="S12" s="68">
        <v>1E-3</v>
      </c>
      <c r="T12" s="68">
        <v>1E-3</v>
      </c>
      <c r="U12" s="68">
        <v>1E-3</v>
      </c>
      <c r="V12" s="68">
        <v>1E-3</v>
      </c>
      <c r="W12" s="68">
        <v>1E-3</v>
      </c>
      <c r="X12" s="68">
        <v>1E-3</v>
      </c>
      <c r="Y12" s="68">
        <v>1E-3</v>
      </c>
      <c r="Z12" s="68">
        <v>1E-3</v>
      </c>
      <c r="AA12" s="68">
        <v>1E-3</v>
      </c>
      <c r="AB12" s="68">
        <v>1E-3</v>
      </c>
      <c r="AC12" s="68">
        <v>1E-3</v>
      </c>
      <c r="AD12" s="68">
        <v>1E-3</v>
      </c>
      <c r="AE12" s="68">
        <v>1E-3</v>
      </c>
      <c r="AF12" s="68">
        <v>1E-3</v>
      </c>
      <c r="AG12" s="68">
        <v>1E-3</v>
      </c>
      <c r="AH12" s="68">
        <v>1E-3</v>
      </c>
      <c r="AI12" s="68">
        <v>1E-3</v>
      </c>
      <c r="AJ12" s="68">
        <v>1E-3</v>
      </c>
      <c r="AK12" s="68">
        <v>1E-3</v>
      </c>
      <c r="AL12" s="68">
        <v>1E-3</v>
      </c>
      <c r="AM12" s="68">
        <v>1E-3</v>
      </c>
      <c r="AN12" s="68">
        <v>1E-3</v>
      </c>
      <c r="AO12" s="68">
        <v>1E-3</v>
      </c>
      <c r="AP12" s="68">
        <v>1E-3</v>
      </c>
      <c r="AQ12" s="68">
        <v>1E-3</v>
      </c>
      <c r="AR12" s="68">
        <v>1E-3</v>
      </c>
      <c r="AS12" s="68">
        <v>1E-3</v>
      </c>
      <c r="AT12" s="68">
        <v>1E-3</v>
      </c>
      <c r="AU12" s="68">
        <v>1E-3</v>
      </c>
      <c r="AV12" s="68">
        <v>1E-3</v>
      </c>
      <c r="AW12" s="68">
        <v>1E-3</v>
      </c>
      <c r="AX12" s="68">
        <v>1E-3</v>
      </c>
      <c r="AY12" s="68">
        <v>1E-3</v>
      </c>
      <c r="AZ12" s="68">
        <v>1E-3</v>
      </c>
      <c r="BA12" s="68">
        <v>1E-3</v>
      </c>
      <c r="BB12" s="68">
        <v>1E-3</v>
      </c>
      <c r="BC12" s="68">
        <v>1E-3</v>
      </c>
      <c r="BD12" s="68">
        <v>1E-3</v>
      </c>
      <c r="BE12" s="68">
        <v>1E-3</v>
      </c>
      <c r="BF12" s="68">
        <v>1E-3</v>
      </c>
      <c r="BG12" s="68">
        <v>1E-3</v>
      </c>
      <c r="BH12" s="68">
        <v>1E-3</v>
      </c>
      <c r="BI12" s="68">
        <v>1E-3</v>
      </c>
    </row>
    <row r="13" spans="1:61" x14ac:dyDescent="0.25">
      <c r="A13" s="59" t="s">
        <v>128</v>
      </c>
      <c r="B13" s="53">
        <f>$B$3</f>
        <v>1.7</v>
      </c>
      <c r="C13" s="49">
        <f>B13*(1+B14)</f>
        <v>1.7016999999999998</v>
      </c>
      <c r="D13" s="49">
        <f t="shared" ref="D13:BI13" si="1">C13*(1+C14)</f>
        <v>1.7034016999999997</v>
      </c>
      <c r="E13" s="49">
        <f t="shared" si="1"/>
        <v>1.7051051016999994</v>
      </c>
      <c r="F13" s="49">
        <f t="shared" si="1"/>
        <v>1.7068102068016993</v>
      </c>
      <c r="G13" s="49">
        <f t="shared" si="1"/>
        <v>1.7085170170085007</v>
      </c>
      <c r="H13" s="49">
        <f t="shared" si="1"/>
        <v>1.710225534025509</v>
      </c>
      <c r="I13" s="49">
        <f t="shared" si="1"/>
        <v>1.7119357595595344</v>
      </c>
      <c r="J13" s="49">
        <f t="shared" si="1"/>
        <v>1.7136476953190938</v>
      </c>
      <c r="K13" s="49">
        <f t="shared" si="1"/>
        <v>1.7153613430144128</v>
      </c>
      <c r="L13" s="49">
        <f t="shared" si="1"/>
        <v>1.7170767043574271</v>
      </c>
      <c r="M13" s="49">
        <f t="shared" si="1"/>
        <v>1.7187937810617844</v>
      </c>
      <c r="N13" s="49">
        <f t="shared" si="1"/>
        <v>1.720512574842846</v>
      </c>
      <c r="O13" s="49">
        <f t="shared" si="1"/>
        <v>1.7222330874176888</v>
      </c>
      <c r="P13" s="49">
        <f t="shared" si="1"/>
        <v>1.7239553205051064</v>
      </c>
      <c r="Q13" s="49">
        <f t="shared" si="1"/>
        <v>1.7256792758256112</v>
      </c>
      <c r="R13" s="49">
        <f t="shared" si="1"/>
        <v>1.7274049551014365</v>
      </c>
      <c r="S13" s="49">
        <f t="shared" si="1"/>
        <v>1.7291323600565378</v>
      </c>
      <c r="T13" s="49">
        <f t="shared" si="1"/>
        <v>1.7308614924165941</v>
      </c>
      <c r="U13" s="49">
        <f t="shared" si="1"/>
        <v>1.7325923539090105</v>
      </c>
      <c r="V13" s="49">
        <f t="shared" si="1"/>
        <v>1.7343249462629193</v>
      </c>
      <c r="W13" s="49">
        <f t="shared" si="1"/>
        <v>1.736059271209182</v>
      </c>
      <c r="X13" s="49">
        <f t="shared" si="1"/>
        <v>1.737795330480391</v>
      </c>
      <c r="Y13" s="49">
        <f t="shared" si="1"/>
        <v>1.7395331258108713</v>
      </c>
      <c r="Z13" s="49">
        <f t="shared" si="1"/>
        <v>1.741272658936682</v>
      </c>
      <c r="AA13" s="49">
        <f t="shared" si="1"/>
        <v>1.7430139315956186</v>
      </c>
      <c r="AB13" s="49">
        <f t="shared" si="1"/>
        <v>1.7447569455272141</v>
      </c>
      <c r="AC13" s="49">
        <f t="shared" si="1"/>
        <v>1.7465017024727412</v>
      </c>
      <c r="AD13" s="49">
        <f t="shared" si="1"/>
        <v>1.7482482041752136</v>
      </c>
      <c r="AE13" s="49">
        <f t="shared" si="1"/>
        <v>1.7499964523793887</v>
      </c>
      <c r="AF13" s="49">
        <f t="shared" si="1"/>
        <v>1.751746448831768</v>
      </c>
      <c r="AG13" s="49">
        <f t="shared" si="1"/>
        <v>1.7534981952805995</v>
      </c>
      <c r="AH13" s="49">
        <f t="shared" si="1"/>
        <v>1.7552516934758799</v>
      </c>
      <c r="AI13" s="49">
        <f t="shared" si="1"/>
        <v>1.7570069451693557</v>
      </c>
      <c r="AJ13" s="49">
        <f t="shared" si="1"/>
        <v>1.7587639521145249</v>
      </c>
      <c r="AK13" s="49">
        <f t="shared" si="1"/>
        <v>1.7605227160666392</v>
      </c>
      <c r="AL13" s="49">
        <f t="shared" si="1"/>
        <v>1.7622832387827057</v>
      </c>
      <c r="AM13" s="49">
        <f t="shared" si="1"/>
        <v>1.7640455220214881</v>
      </c>
      <c r="AN13" s="49">
        <f t="shared" si="1"/>
        <v>1.7658095675435095</v>
      </c>
      <c r="AO13" s="49">
        <f t="shared" si="1"/>
        <v>1.7675753771110527</v>
      </c>
      <c r="AP13" s="49">
        <f t="shared" si="1"/>
        <v>1.7693429524881636</v>
      </c>
      <c r="AQ13" s="49">
        <f t="shared" si="1"/>
        <v>1.7711122954406515</v>
      </c>
      <c r="AR13" s="49">
        <f t="shared" si="1"/>
        <v>1.772883407736092</v>
      </c>
      <c r="AS13" s="49">
        <f t="shared" si="1"/>
        <v>1.7746562911438279</v>
      </c>
      <c r="AT13" s="49">
        <f t="shared" si="1"/>
        <v>1.7764309474349715</v>
      </c>
      <c r="AU13" s="49">
        <f t="shared" si="1"/>
        <v>1.7782073783824064</v>
      </c>
      <c r="AV13" s="49">
        <f t="shared" si="1"/>
        <v>1.7799855857607887</v>
      </c>
      <c r="AW13" s="49">
        <f t="shared" si="1"/>
        <v>1.7817655713465492</v>
      </c>
      <c r="AX13" s="49">
        <f t="shared" si="1"/>
        <v>1.7835473369178956</v>
      </c>
      <c r="AY13" s="49">
        <f t="shared" si="1"/>
        <v>1.7853308842548132</v>
      </c>
      <c r="AZ13" s="49">
        <f t="shared" si="1"/>
        <v>1.7871162151390678</v>
      </c>
      <c r="BA13" s="49">
        <f t="shared" si="1"/>
        <v>1.7889033313542066</v>
      </c>
      <c r="BB13" s="49">
        <f t="shared" si="1"/>
        <v>1.7906922346855607</v>
      </c>
      <c r="BC13" s="49">
        <f t="shared" si="1"/>
        <v>1.792482926920246</v>
      </c>
      <c r="BD13" s="49">
        <f t="shared" si="1"/>
        <v>1.794275409847166</v>
      </c>
      <c r="BE13" s="49">
        <f t="shared" si="1"/>
        <v>1.796069685257013</v>
      </c>
      <c r="BF13" s="49">
        <f t="shared" si="1"/>
        <v>1.7978657549422699</v>
      </c>
      <c r="BG13" s="49">
        <f t="shared" si="1"/>
        <v>1.7996636206972119</v>
      </c>
      <c r="BH13" s="49">
        <f t="shared" si="1"/>
        <v>1.8014632843179088</v>
      </c>
      <c r="BI13" s="49">
        <f t="shared" si="1"/>
        <v>1.8032647476022265</v>
      </c>
    </row>
    <row r="14" spans="1:61" x14ac:dyDescent="0.25">
      <c r="A14" s="30" t="s">
        <v>123</v>
      </c>
      <c r="B14" s="51">
        <v>1E-3</v>
      </c>
      <c r="C14" s="51">
        <v>1E-3</v>
      </c>
      <c r="D14" s="51">
        <v>1E-3</v>
      </c>
      <c r="E14" s="51">
        <v>1E-3</v>
      </c>
      <c r="F14" s="51">
        <v>1E-3</v>
      </c>
      <c r="G14" s="51">
        <v>1E-3</v>
      </c>
      <c r="H14" s="51">
        <v>1E-3</v>
      </c>
      <c r="I14" s="51">
        <v>1E-3</v>
      </c>
      <c r="J14" s="51">
        <v>1E-3</v>
      </c>
      <c r="K14" s="51">
        <v>1E-3</v>
      </c>
      <c r="L14" s="51">
        <v>1E-3</v>
      </c>
      <c r="M14" s="51">
        <v>1E-3</v>
      </c>
      <c r="N14" s="51">
        <v>1E-3</v>
      </c>
      <c r="O14" s="51">
        <v>1E-3</v>
      </c>
      <c r="P14" s="51">
        <v>1E-3</v>
      </c>
      <c r="Q14" s="51">
        <v>1E-3</v>
      </c>
      <c r="R14" s="51">
        <v>1E-3</v>
      </c>
      <c r="S14" s="51">
        <v>1E-3</v>
      </c>
      <c r="T14" s="51">
        <v>1E-3</v>
      </c>
      <c r="U14" s="51">
        <v>1E-3</v>
      </c>
      <c r="V14" s="51">
        <v>1E-3</v>
      </c>
      <c r="W14" s="51">
        <v>1E-3</v>
      </c>
      <c r="X14" s="51">
        <v>1E-3</v>
      </c>
      <c r="Y14" s="51">
        <v>1E-3</v>
      </c>
      <c r="Z14" s="51">
        <v>1E-3</v>
      </c>
      <c r="AA14" s="51">
        <v>1E-3</v>
      </c>
      <c r="AB14" s="51">
        <v>1E-3</v>
      </c>
      <c r="AC14" s="51">
        <v>1E-3</v>
      </c>
      <c r="AD14" s="51">
        <v>1E-3</v>
      </c>
      <c r="AE14" s="51">
        <v>1E-3</v>
      </c>
      <c r="AF14" s="51">
        <v>1E-3</v>
      </c>
      <c r="AG14" s="51">
        <v>1E-3</v>
      </c>
      <c r="AH14" s="51">
        <v>1E-3</v>
      </c>
      <c r="AI14" s="51">
        <v>1E-3</v>
      </c>
      <c r="AJ14" s="51">
        <v>1E-3</v>
      </c>
      <c r="AK14" s="51">
        <v>1E-3</v>
      </c>
      <c r="AL14" s="51">
        <v>1E-3</v>
      </c>
      <c r="AM14" s="51">
        <v>1E-3</v>
      </c>
      <c r="AN14" s="51">
        <v>1E-3</v>
      </c>
      <c r="AO14" s="51">
        <v>1E-3</v>
      </c>
      <c r="AP14" s="51">
        <v>1E-3</v>
      </c>
      <c r="AQ14" s="51">
        <v>1E-3</v>
      </c>
      <c r="AR14" s="51">
        <v>1E-3</v>
      </c>
      <c r="AS14" s="51">
        <v>1E-3</v>
      </c>
      <c r="AT14" s="51">
        <v>1E-3</v>
      </c>
      <c r="AU14" s="51">
        <v>1E-3</v>
      </c>
      <c r="AV14" s="51">
        <v>1E-3</v>
      </c>
      <c r="AW14" s="51">
        <v>1E-3</v>
      </c>
      <c r="AX14" s="51">
        <v>1E-3</v>
      </c>
      <c r="AY14" s="51">
        <v>1E-3</v>
      </c>
      <c r="AZ14" s="51">
        <v>1E-3</v>
      </c>
      <c r="BA14" s="51">
        <v>1E-3</v>
      </c>
      <c r="BB14" s="51">
        <v>1E-3</v>
      </c>
      <c r="BC14" s="51">
        <v>1E-3</v>
      </c>
      <c r="BD14" s="51">
        <v>1E-3</v>
      </c>
      <c r="BE14" s="51">
        <v>1E-3</v>
      </c>
      <c r="BF14" s="51">
        <v>1E-3</v>
      </c>
      <c r="BG14" s="51">
        <v>1E-3</v>
      </c>
      <c r="BH14" s="51">
        <v>1E-3</v>
      </c>
      <c r="BI14" s="51">
        <v>1E-3</v>
      </c>
    </row>
    <row r="15" spans="1:61" x14ac:dyDescent="0.25">
      <c r="A15" s="59" t="s">
        <v>129</v>
      </c>
      <c r="B15" s="49">
        <f>B11*B13</f>
        <v>20400</v>
      </c>
      <c r="C15" s="49">
        <f t="shared" ref="C15:BI15" si="2">C11*C13</f>
        <v>20440.820399999993</v>
      </c>
      <c r="D15" s="49">
        <f t="shared" si="2"/>
        <v>20481.722481620393</v>
      </c>
      <c r="E15" s="49">
        <f t="shared" si="2"/>
        <v>20522.706408306105</v>
      </c>
      <c r="F15" s="49">
        <f t="shared" si="2"/>
        <v>20563.772343829125</v>
      </c>
      <c r="G15" s="49">
        <f t="shared" si="2"/>
        <v>20604.92045228912</v>
      </c>
      <c r="H15" s="49">
        <f t="shared" si="2"/>
        <v>20646.150898114145</v>
      </c>
      <c r="I15" s="49">
        <f t="shared" si="2"/>
        <v>20687.46384606127</v>
      </c>
      <c r="J15" s="49">
        <f t="shared" si="2"/>
        <v>20728.859461217231</v>
      </c>
      <c r="K15" s="49">
        <f t="shared" si="2"/>
        <v>20770.337908999125</v>
      </c>
      <c r="L15" s="49">
        <f t="shared" si="2"/>
        <v>20811.89935515503</v>
      </c>
      <c r="M15" s="49">
        <f t="shared" si="2"/>
        <v>20853.543965764689</v>
      </c>
      <c r="N15" s="49">
        <f t="shared" si="2"/>
        <v>20895.271907240181</v>
      </c>
      <c r="O15" s="49">
        <f t="shared" si="2"/>
        <v>20937.083346326566</v>
      </c>
      <c r="P15" s="49">
        <f t="shared" si="2"/>
        <v>20978.978450102561</v>
      </c>
      <c r="Q15" s="49">
        <f t="shared" si="2"/>
        <v>21020.957385981212</v>
      </c>
      <c r="R15" s="49">
        <f t="shared" si="2"/>
        <v>21063.020321710552</v>
      </c>
      <c r="S15" s="49">
        <f t="shared" si="2"/>
        <v>21105.167425374289</v>
      </c>
      <c r="T15" s="49">
        <f t="shared" si="2"/>
        <v>21147.398865392457</v>
      </c>
      <c r="U15" s="49">
        <f t="shared" si="2"/>
        <v>21189.714810522102</v>
      </c>
      <c r="V15" s="49">
        <f t="shared" si="2"/>
        <v>21232.115429857957</v>
      </c>
      <c r="W15" s="49">
        <f t="shared" si="2"/>
        <v>21274.600892833096</v>
      </c>
      <c r="X15" s="49">
        <f t="shared" si="2"/>
        <v>21317.17136921965</v>
      </c>
      <c r="Y15" s="49">
        <f t="shared" si="2"/>
        <v>21359.827029129454</v>
      </c>
      <c r="Z15" s="49">
        <f t="shared" si="2"/>
        <v>21402.56804301474</v>
      </c>
      <c r="AA15" s="49">
        <f t="shared" si="2"/>
        <v>21445.39458166881</v>
      </c>
      <c r="AB15" s="49">
        <f t="shared" si="2"/>
        <v>21488.306816226726</v>
      </c>
      <c r="AC15" s="49">
        <f t="shared" si="2"/>
        <v>21531.304918165995</v>
      </c>
      <c r="AD15" s="49">
        <f t="shared" si="2"/>
        <v>21574.389059307239</v>
      </c>
      <c r="AE15" s="49">
        <f t="shared" si="2"/>
        <v>21617.559411814909</v>
      </c>
      <c r="AF15" s="49">
        <f t="shared" si="2"/>
        <v>21660.816148197948</v>
      </c>
      <c r="AG15" s="49">
        <f t="shared" si="2"/>
        <v>21704.159441310483</v>
      </c>
      <c r="AH15" s="49">
        <f t="shared" si="2"/>
        <v>21747.589464352543</v>
      </c>
      <c r="AI15" s="49">
        <f t="shared" si="2"/>
        <v>21791.106390870707</v>
      </c>
      <c r="AJ15" s="49">
        <f t="shared" si="2"/>
        <v>21834.710394758833</v>
      </c>
      <c r="AK15" s="49">
        <f t="shared" si="2"/>
        <v>21878.40165025874</v>
      </c>
      <c r="AL15" s="49">
        <f t="shared" si="2"/>
        <v>21922.180331960903</v>
      </c>
      <c r="AM15" s="49">
        <f t="shared" si="2"/>
        <v>21966.046614805149</v>
      </c>
      <c r="AN15" s="49">
        <f t="shared" si="2"/>
        <v>22010.000674081373</v>
      </c>
      <c r="AO15" s="49">
        <f t="shared" si="2"/>
        <v>22054.042685430206</v>
      </c>
      <c r="AP15" s="49">
        <f t="shared" si="2"/>
        <v>22098.172824843747</v>
      </c>
      <c r="AQ15" s="49">
        <f t="shared" si="2"/>
        <v>22142.391268666252</v>
      </c>
      <c r="AR15" s="49">
        <f t="shared" si="2"/>
        <v>22186.698193594846</v>
      </c>
      <c r="AS15" s="49">
        <f t="shared" si="2"/>
        <v>22231.093776680224</v>
      </c>
      <c r="AT15" s="49">
        <f t="shared" si="2"/>
        <v>22275.578195327354</v>
      </c>
      <c r="AU15" s="49">
        <f t="shared" si="2"/>
        <v>22320.1516272962</v>
      </c>
      <c r="AV15" s="49">
        <f t="shared" si="2"/>
        <v>22364.814250702417</v>
      </c>
      <c r="AW15" s="49">
        <f t="shared" si="2"/>
        <v>22409.566244018068</v>
      </c>
      <c r="AX15" s="49">
        <f t="shared" si="2"/>
        <v>22454.407786072341</v>
      </c>
      <c r="AY15" s="49">
        <f t="shared" si="2"/>
        <v>22499.339056052268</v>
      </c>
      <c r="AZ15" s="49">
        <f t="shared" si="2"/>
        <v>22544.360233503423</v>
      </c>
      <c r="BA15" s="49">
        <f t="shared" si="2"/>
        <v>22589.471498330659</v>
      </c>
      <c r="BB15" s="49">
        <f t="shared" si="2"/>
        <v>22634.673030798815</v>
      </c>
      <c r="BC15" s="49">
        <f t="shared" si="2"/>
        <v>22679.965011533437</v>
      </c>
      <c r="BD15" s="49">
        <f t="shared" si="2"/>
        <v>22725.347621521509</v>
      </c>
      <c r="BE15" s="49">
        <f t="shared" si="2"/>
        <v>22770.821042112169</v>
      </c>
      <c r="BF15" s="49">
        <f t="shared" si="2"/>
        <v>22816.385455017433</v>
      </c>
      <c r="BG15" s="49">
        <f t="shared" si="2"/>
        <v>22862.041042312918</v>
      </c>
      <c r="BH15" s="49">
        <f t="shared" si="2"/>
        <v>22907.78798643858</v>
      </c>
      <c r="BI15" s="49">
        <f t="shared" si="2"/>
        <v>22953.626470199441</v>
      </c>
    </row>
    <row r="16" spans="1:61" x14ac:dyDescent="0.25">
      <c r="A16" s="59" t="s">
        <v>131</v>
      </c>
      <c r="B16" s="49">
        <f>B15*2</f>
        <v>40800</v>
      </c>
      <c r="C16" s="49">
        <f t="shared" ref="C16:BI16" si="3">C15*2</f>
        <v>40881.640799999986</v>
      </c>
      <c r="D16" s="49">
        <f t="shared" si="3"/>
        <v>40963.444963240785</v>
      </c>
      <c r="E16" s="49">
        <f t="shared" si="3"/>
        <v>41045.41281661221</v>
      </c>
      <c r="F16" s="49">
        <f t="shared" si="3"/>
        <v>41127.54468765825</v>
      </c>
      <c r="G16" s="49">
        <f t="shared" si="3"/>
        <v>41209.840904578239</v>
      </c>
      <c r="H16" s="49">
        <f t="shared" si="3"/>
        <v>41292.30179622829</v>
      </c>
      <c r="I16" s="49">
        <f t="shared" si="3"/>
        <v>41374.927692122539</v>
      </c>
      <c r="J16" s="49">
        <f t="shared" si="3"/>
        <v>41457.718922434462</v>
      </c>
      <c r="K16" s="49">
        <f t="shared" si="3"/>
        <v>41540.67581799825</v>
      </c>
      <c r="L16" s="49">
        <f t="shared" si="3"/>
        <v>41623.79871031006</v>
      </c>
      <c r="M16" s="49">
        <f t="shared" si="3"/>
        <v>41707.087931529379</v>
      </c>
      <c r="N16" s="49">
        <f t="shared" si="3"/>
        <v>41790.543814480363</v>
      </c>
      <c r="O16" s="49">
        <f t="shared" si="3"/>
        <v>41874.166692653132</v>
      </c>
      <c r="P16" s="49">
        <f t="shared" si="3"/>
        <v>41957.956900205121</v>
      </c>
      <c r="Q16" s="49">
        <f t="shared" si="3"/>
        <v>42041.914771962423</v>
      </c>
      <c r="R16" s="49">
        <f t="shared" si="3"/>
        <v>42126.040643421104</v>
      </c>
      <c r="S16" s="49">
        <f t="shared" si="3"/>
        <v>42210.334850748579</v>
      </c>
      <c r="T16" s="49">
        <f t="shared" si="3"/>
        <v>42294.797730784914</v>
      </c>
      <c r="U16" s="49">
        <f t="shared" si="3"/>
        <v>42379.429621044204</v>
      </c>
      <c r="V16" s="49">
        <f t="shared" si="3"/>
        <v>42464.230859715914</v>
      </c>
      <c r="W16" s="49">
        <f t="shared" si="3"/>
        <v>42549.201785666191</v>
      </c>
      <c r="X16" s="49">
        <f t="shared" si="3"/>
        <v>42634.3427384393</v>
      </c>
      <c r="Y16" s="49">
        <f t="shared" si="3"/>
        <v>42719.654058258908</v>
      </c>
      <c r="Z16" s="49">
        <f t="shared" si="3"/>
        <v>42805.136086029481</v>
      </c>
      <c r="AA16" s="49">
        <f t="shared" si="3"/>
        <v>42890.78916333762</v>
      </c>
      <c r="AB16" s="49">
        <f t="shared" si="3"/>
        <v>42976.613632453453</v>
      </c>
      <c r="AC16" s="49">
        <f t="shared" si="3"/>
        <v>43062.609836331991</v>
      </c>
      <c r="AD16" s="49">
        <f t="shared" si="3"/>
        <v>43148.778118614478</v>
      </c>
      <c r="AE16" s="49">
        <f t="shared" si="3"/>
        <v>43235.118823629819</v>
      </c>
      <c r="AF16" s="49">
        <f t="shared" si="3"/>
        <v>43321.632296395896</v>
      </c>
      <c r="AG16" s="49">
        <f t="shared" si="3"/>
        <v>43408.318882620966</v>
      </c>
      <c r="AH16" s="49">
        <f t="shared" si="3"/>
        <v>43495.178928705085</v>
      </c>
      <c r="AI16" s="49">
        <f t="shared" si="3"/>
        <v>43582.212781741415</v>
      </c>
      <c r="AJ16" s="49">
        <f t="shared" si="3"/>
        <v>43669.420789517666</v>
      </c>
      <c r="AK16" s="49">
        <f t="shared" si="3"/>
        <v>43756.80330051748</v>
      </c>
      <c r="AL16" s="49">
        <f t="shared" si="3"/>
        <v>43844.360663921805</v>
      </c>
      <c r="AM16" s="49">
        <f t="shared" si="3"/>
        <v>43932.093229610298</v>
      </c>
      <c r="AN16" s="49">
        <f t="shared" si="3"/>
        <v>44020.001348162747</v>
      </c>
      <c r="AO16" s="49">
        <f t="shared" si="3"/>
        <v>44108.085370860412</v>
      </c>
      <c r="AP16" s="49">
        <f t="shared" si="3"/>
        <v>44196.345649687493</v>
      </c>
      <c r="AQ16" s="49">
        <f t="shared" si="3"/>
        <v>44284.782537332503</v>
      </c>
      <c r="AR16" s="49">
        <f t="shared" si="3"/>
        <v>44373.396387189692</v>
      </c>
      <c r="AS16" s="49">
        <f t="shared" si="3"/>
        <v>44462.187553360447</v>
      </c>
      <c r="AT16" s="49">
        <f t="shared" si="3"/>
        <v>44551.156390654709</v>
      </c>
      <c r="AU16" s="49">
        <f t="shared" si="3"/>
        <v>44640.3032545924</v>
      </c>
      <c r="AV16" s="49">
        <f t="shared" si="3"/>
        <v>44729.628501404834</v>
      </c>
      <c r="AW16" s="49">
        <f t="shared" si="3"/>
        <v>44819.132488036135</v>
      </c>
      <c r="AX16" s="49">
        <f t="shared" si="3"/>
        <v>44908.815572144682</v>
      </c>
      <c r="AY16" s="49">
        <f t="shared" si="3"/>
        <v>44998.678112104535</v>
      </c>
      <c r="AZ16" s="49">
        <f t="shared" si="3"/>
        <v>45088.720467006846</v>
      </c>
      <c r="BA16" s="49">
        <f t="shared" si="3"/>
        <v>45178.942996661317</v>
      </c>
      <c r="BB16" s="49">
        <f t="shared" si="3"/>
        <v>45269.346061597629</v>
      </c>
      <c r="BC16" s="49">
        <f t="shared" si="3"/>
        <v>45359.930023066874</v>
      </c>
      <c r="BD16" s="49">
        <f t="shared" si="3"/>
        <v>45450.695243043017</v>
      </c>
      <c r="BE16" s="49">
        <f t="shared" si="3"/>
        <v>45541.642084224339</v>
      </c>
      <c r="BF16" s="49">
        <f t="shared" si="3"/>
        <v>45632.770910034866</v>
      </c>
      <c r="BG16" s="49">
        <f t="shared" si="3"/>
        <v>45724.082084625836</v>
      </c>
      <c r="BH16" s="49">
        <f t="shared" si="3"/>
        <v>45815.575972877159</v>
      </c>
      <c r="BI16" s="49">
        <f t="shared" si="3"/>
        <v>45907.252940398881</v>
      </c>
    </row>
    <row r="20" spans="1:61" x14ac:dyDescent="0.25">
      <c r="A20" s="4" t="s">
        <v>127</v>
      </c>
    </row>
    <row r="21" spans="1:61" x14ac:dyDescent="0.25">
      <c r="A21" s="59" t="s">
        <v>132</v>
      </c>
      <c r="B21" s="60">
        <v>8</v>
      </c>
      <c r="C21" s="61">
        <f>B21*(1+B22)</f>
        <v>7.992</v>
      </c>
      <c r="D21" s="61">
        <f t="shared" ref="D21:BI21" si="4">C21*(1+C22)</f>
        <v>7.9840080000000002</v>
      </c>
      <c r="E21" s="61">
        <f t="shared" si="4"/>
        <v>7.976023992</v>
      </c>
      <c r="F21" s="61">
        <f t="shared" si="4"/>
        <v>7.9680479680080003</v>
      </c>
      <c r="G21" s="61">
        <f t="shared" si="4"/>
        <v>7.9600799200399921</v>
      </c>
      <c r="H21" s="61">
        <f t="shared" si="4"/>
        <v>7.952119840119952</v>
      </c>
      <c r="I21" s="61">
        <f t="shared" si="4"/>
        <v>7.9441677202798324</v>
      </c>
      <c r="J21" s="61">
        <f t="shared" si="4"/>
        <v>7.9362235525595528</v>
      </c>
      <c r="K21" s="61">
        <f t="shared" si="4"/>
        <v>7.9282873290069933</v>
      </c>
      <c r="L21" s="61">
        <f t="shared" si="4"/>
        <v>7.9203590416779859</v>
      </c>
      <c r="M21" s="61">
        <f t="shared" si="4"/>
        <v>7.9124386826363082</v>
      </c>
      <c r="N21" s="61">
        <f t="shared" si="4"/>
        <v>7.9045262439536721</v>
      </c>
      <c r="O21" s="61">
        <f t="shared" si="4"/>
        <v>7.896621717709718</v>
      </c>
      <c r="P21" s="61">
        <f t="shared" si="4"/>
        <v>7.8887250959920081</v>
      </c>
      <c r="Q21" s="61">
        <f t="shared" si="4"/>
        <v>7.8808363708960165</v>
      </c>
      <c r="R21" s="61">
        <f t="shared" si="4"/>
        <v>7.8729555345251203</v>
      </c>
      <c r="S21" s="61">
        <f t="shared" si="4"/>
        <v>7.8650825789905952</v>
      </c>
      <c r="T21" s="61">
        <f t="shared" si="4"/>
        <v>7.8572174964116046</v>
      </c>
      <c r="U21" s="61">
        <f t="shared" si="4"/>
        <v>7.8493602789151931</v>
      </c>
      <c r="V21" s="61">
        <f t="shared" si="4"/>
        <v>7.8415109186362777</v>
      </c>
      <c r="W21" s="61">
        <f t="shared" si="4"/>
        <v>7.8336694077176414</v>
      </c>
      <c r="X21" s="61">
        <f t="shared" si="4"/>
        <v>7.825835738309924</v>
      </c>
      <c r="Y21" s="61">
        <f t="shared" si="4"/>
        <v>7.8180099025716139</v>
      </c>
      <c r="Z21" s="61">
        <f t="shared" si="4"/>
        <v>7.8101918926690423</v>
      </c>
      <c r="AA21" s="61">
        <f t="shared" si="4"/>
        <v>7.8023817007763734</v>
      </c>
      <c r="AB21" s="61">
        <f t="shared" si="4"/>
        <v>7.7945793190755968</v>
      </c>
      <c r="AC21" s="61">
        <f t="shared" si="4"/>
        <v>7.7867847397565209</v>
      </c>
      <c r="AD21" s="61">
        <f t="shared" si="4"/>
        <v>7.7789979550167647</v>
      </c>
      <c r="AE21" s="61">
        <f t="shared" si="4"/>
        <v>7.7712189570617483</v>
      </c>
      <c r="AF21" s="61">
        <f t="shared" si="4"/>
        <v>7.7634477381046869</v>
      </c>
      <c r="AG21" s="61">
        <f t="shared" si="4"/>
        <v>7.7556842903665819</v>
      </c>
      <c r="AH21" s="61">
        <f t="shared" si="4"/>
        <v>7.7479286060762149</v>
      </c>
      <c r="AI21" s="61">
        <f t="shared" si="4"/>
        <v>7.7401806774701383</v>
      </c>
      <c r="AJ21" s="61">
        <f t="shared" si="4"/>
        <v>7.7324404967926679</v>
      </c>
      <c r="AK21" s="61">
        <f t="shared" si="4"/>
        <v>7.7247080562958752</v>
      </c>
      <c r="AL21" s="61">
        <f t="shared" si="4"/>
        <v>7.7169833482395793</v>
      </c>
      <c r="AM21" s="61">
        <f t="shared" si="4"/>
        <v>7.7092663648913398</v>
      </c>
      <c r="AN21" s="61">
        <f t="shared" si="4"/>
        <v>7.7015570985264485</v>
      </c>
      <c r="AO21" s="61">
        <f t="shared" si="4"/>
        <v>7.6938555414279222</v>
      </c>
      <c r="AP21" s="61">
        <f t="shared" si="4"/>
        <v>7.6861616858864945</v>
      </c>
      <c r="AQ21" s="61">
        <f t="shared" si="4"/>
        <v>7.678475524200608</v>
      </c>
      <c r="AR21" s="61">
        <f t="shared" si="4"/>
        <v>7.6707970486764072</v>
      </c>
      <c r="AS21" s="61">
        <f t="shared" si="4"/>
        <v>7.6631262516277312</v>
      </c>
      <c r="AT21" s="61">
        <f t="shared" si="4"/>
        <v>7.6554631253761034</v>
      </c>
      <c r="AU21" s="61">
        <f t="shared" si="4"/>
        <v>7.6478076622507274</v>
      </c>
      <c r="AV21" s="61">
        <f t="shared" si="4"/>
        <v>7.640159854588477</v>
      </c>
      <c r="AW21" s="61">
        <f t="shared" si="4"/>
        <v>7.6325196947338885</v>
      </c>
      <c r="AX21" s="61">
        <f t="shared" si="4"/>
        <v>7.6248871750391549</v>
      </c>
      <c r="AY21" s="61">
        <f t="shared" si="4"/>
        <v>7.6172622878641159</v>
      </c>
      <c r="AZ21" s="61">
        <f t="shared" si="4"/>
        <v>7.6096450255762518</v>
      </c>
      <c r="BA21" s="61">
        <f t="shared" si="4"/>
        <v>7.6020353805506753</v>
      </c>
      <c r="BB21" s="61">
        <f t="shared" si="4"/>
        <v>7.5944333451701249</v>
      </c>
      <c r="BC21" s="61">
        <f t="shared" si="4"/>
        <v>7.5868389118249544</v>
      </c>
      <c r="BD21" s="61">
        <f t="shared" si="4"/>
        <v>7.5792520729131292</v>
      </c>
      <c r="BE21" s="61">
        <f t="shared" si="4"/>
        <v>7.5716728208402158</v>
      </c>
      <c r="BF21" s="61">
        <f t="shared" si="4"/>
        <v>7.5641011480193754</v>
      </c>
      <c r="BG21" s="61">
        <f t="shared" si="4"/>
        <v>7.5565370468713562</v>
      </c>
      <c r="BH21" s="61">
        <f t="shared" si="4"/>
        <v>7.5489805098244851</v>
      </c>
      <c r="BI21" s="61">
        <f t="shared" si="4"/>
        <v>7.5414315293146608</v>
      </c>
    </row>
    <row r="22" spans="1:61" x14ac:dyDescent="0.25">
      <c r="A22" s="59" t="s">
        <v>163</v>
      </c>
      <c r="B22" s="51">
        <v>-1E-3</v>
      </c>
      <c r="C22" s="51">
        <v>-1E-3</v>
      </c>
      <c r="D22" s="51">
        <v>-1E-3</v>
      </c>
      <c r="E22" s="51">
        <v>-1E-3</v>
      </c>
      <c r="F22" s="51">
        <v>-1E-3</v>
      </c>
      <c r="G22" s="51">
        <v>-1E-3</v>
      </c>
      <c r="H22" s="51">
        <v>-1E-3</v>
      </c>
      <c r="I22" s="51">
        <v>-1E-3</v>
      </c>
      <c r="J22" s="51">
        <v>-1E-3</v>
      </c>
      <c r="K22" s="51">
        <v>-1E-3</v>
      </c>
      <c r="L22" s="51">
        <v>-1E-3</v>
      </c>
      <c r="M22" s="51">
        <v>-1E-3</v>
      </c>
      <c r="N22" s="51">
        <v>-1E-3</v>
      </c>
      <c r="O22" s="51">
        <v>-1E-3</v>
      </c>
      <c r="P22" s="51">
        <v>-1E-3</v>
      </c>
      <c r="Q22" s="51">
        <v>-1E-3</v>
      </c>
      <c r="R22" s="51">
        <v>-1E-3</v>
      </c>
      <c r="S22" s="51">
        <v>-1E-3</v>
      </c>
      <c r="T22" s="51">
        <v>-1E-3</v>
      </c>
      <c r="U22" s="51">
        <v>-1E-3</v>
      </c>
      <c r="V22" s="51">
        <v>-1E-3</v>
      </c>
      <c r="W22" s="51">
        <v>-1E-3</v>
      </c>
      <c r="X22" s="51">
        <v>-1E-3</v>
      </c>
      <c r="Y22" s="51">
        <v>-1E-3</v>
      </c>
      <c r="Z22" s="51">
        <v>-1E-3</v>
      </c>
      <c r="AA22" s="51">
        <v>-1E-3</v>
      </c>
      <c r="AB22" s="51">
        <v>-1E-3</v>
      </c>
      <c r="AC22" s="51">
        <v>-1E-3</v>
      </c>
      <c r="AD22" s="51">
        <v>-1E-3</v>
      </c>
      <c r="AE22" s="51">
        <v>-1E-3</v>
      </c>
      <c r="AF22" s="51">
        <v>-1E-3</v>
      </c>
      <c r="AG22" s="51">
        <v>-1E-3</v>
      </c>
      <c r="AH22" s="51">
        <v>-1E-3</v>
      </c>
      <c r="AI22" s="51">
        <v>-1E-3</v>
      </c>
      <c r="AJ22" s="51">
        <v>-1E-3</v>
      </c>
      <c r="AK22" s="51">
        <v>-1E-3</v>
      </c>
      <c r="AL22" s="51">
        <v>-1E-3</v>
      </c>
      <c r="AM22" s="51">
        <v>-1E-3</v>
      </c>
      <c r="AN22" s="51">
        <v>-1E-3</v>
      </c>
      <c r="AO22" s="51">
        <v>-1E-3</v>
      </c>
      <c r="AP22" s="51">
        <v>-1E-3</v>
      </c>
      <c r="AQ22" s="51">
        <v>-1E-3</v>
      </c>
      <c r="AR22" s="51">
        <v>-1E-3</v>
      </c>
      <c r="AS22" s="51">
        <v>-1E-3</v>
      </c>
      <c r="AT22" s="51">
        <v>-1E-3</v>
      </c>
      <c r="AU22" s="51">
        <v>-1E-3</v>
      </c>
      <c r="AV22" s="51">
        <v>-1E-3</v>
      </c>
      <c r="AW22" s="51">
        <v>-1E-3</v>
      </c>
      <c r="AX22" s="51">
        <v>-1E-3</v>
      </c>
      <c r="AY22" s="51">
        <v>-1E-3</v>
      </c>
      <c r="AZ22" s="51">
        <v>-1E-3</v>
      </c>
      <c r="BA22" s="51">
        <v>-1E-3</v>
      </c>
      <c r="BB22" s="51">
        <v>-1E-3</v>
      </c>
      <c r="BC22" s="51">
        <v>-1E-3</v>
      </c>
      <c r="BD22" s="51">
        <v>-1E-3</v>
      </c>
      <c r="BE22" s="51">
        <v>-1E-3</v>
      </c>
      <c r="BF22" s="51">
        <v>-1E-3</v>
      </c>
      <c r="BG22" s="51">
        <v>-1E-3</v>
      </c>
      <c r="BH22" s="51">
        <v>-1E-3</v>
      </c>
      <c r="BI22" s="51">
        <v>-1E-3</v>
      </c>
    </row>
    <row r="23" spans="1:61" x14ac:dyDescent="0.25">
      <c r="A23" s="59" t="s">
        <v>133</v>
      </c>
      <c r="B23" s="50">
        <v>2.56</v>
      </c>
      <c r="C23" s="53">
        <f>B23*(1+B24)</f>
        <v>2.5625599999999999</v>
      </c>
      <c r="D23" s="53">
        <f t="shared" ref="D23:BI23" si="5">C23*(1+C24)</f>
        <v>2.5651225599999998</v>
      </c>
      <c r="E23" s="53">
        <f t="shared" si="5"/>
        <v>2.5676876825599995</v>
      </c>
      <c r="F23" s="53">
        <f t="shared" si="5"/>
        <v>2.5702553702425592</v>
      </c>
      <c r="G23" s="53">
        <f t="shared" si="5"/>
        <v>2.5728256256128015</v>
      </c>
      <c r="H23" s="53">
        <f t="shared" si="5"/>
        <v>2.575398451238414</v>
      </c>
      <c r="I23" s="53">
        <f t="shared" si="5"/>
        <v>2.577973849689652</v>
      </c>
      <c r="J23" s="53">
        <f t="shared" si="5"/>
        <v>2.5805518235393414</v>
      </c>
      <c r="K23" s="53">
        <f t="shared" si="5"/>
        <v>2.5831323753628803</v>
      </c>
      <c r="L23" s="53">
        <f t="shared" si="5"/>
        <v>2.585715507738243</v>
      </c>
      <c r="M23" s="53">
        <f t="shared" si="5"/>
        <v>2.5883012232459808</v>
      </c>
      <c r="N23" s="53">
        <f t="shared" si="5"/>
        <v>2.5908895244692265</v>
      </c>
      <c r="O23" s="53">
        <f t="shared" si="5"/>
        <v>2.5934804139936953</v>
      </c>
      <c r="P23" s="53">
        <f t="shared" si="5"/>
        <v>2.5960738944076889</v>
      </c>
      <c r="Q23" s="53">
        <f t="shared" si="5"/>
        <v>2.5986699683020964</v>
      </c>
      <c r="R23" s="53">
        <f t="shared" si="5"/>
        <v>2.601268638270398</v>
      </c>
      <c r="S23" s="53">
        <f t="shared" si="5"/>
        <v>2.6038699069086682</v>
      </c>
      <c r="T23" s="53">
        <f t="shared" si="5"/>
        <v>2.6064737768155766</v>
      </c>
      <c r="U23" s="53">
        <f t="shared" si="5"/>
        <v>2.6090802505923918</v>
      </c>
      <c r="V23" s="53">
        <f t="shared" si="5"/>
        <v>2.6116893308429838</v>
      </c>
      <c r="W23" s="53">
        <f t="shared" si="5"/>
        <v>2.6143010201738264</v>
      </c>
      <c r="X23" s="53">
        <f t="shared" si="5"/>
        <v>2.6169153211939999</v>
      </c>
      <c r="Y23" s="53">
        <f t="shared" si="5"/>
        <v>2.6195322365151936</v>
      </c>
      <c r="Z23" s="53">
        <f t="shared" si="5"/>
        <v>2.6221517687517086</v>
      </c>
      <c r="AA23" s="53">
        <f t="shared" si="5"/>
        <v>2.6247739205204601</v>
      </c>
      <c r="AB23" s="53">
        <f t="shared" si="5"/>
        <v>2.6273986944409802</v>
      </c>
      <c r="AC23" s="53">
        <f t="shared" si="5"/>
        <v>2.6300260931354207</v>
      </c>
      <c r="AD23" s="53">
        <f t="shared" si="5"/>
        <v>2.6326561192285558</v>
      </c>
      <c r="AE23" s="53">
        <f t="shared" si="5"/>
        <v>2.6352887753477843</v>
      </c>
      <c r="AF23" s="53">
        <f t="shared" si="5"/>
        <v>2.6379240641231316</v>
      </c>
      <c r="AG23" s="53">
        <f t="shared" si="5"/>
        <v>2.6405619881872546</v>
      </c>
      <c r="AH23" s="53">
        <f t="shared" si="5"/>
        <v>2.6432025501754417</v>
      </c>
      <c r="AI23" s="53">
        <f t="shared" si="5"/>
        <v>2.645845752725617</v>
      </c>
      <c r="AJ23" s="53">
        <f t="shared" si="5"/>
        <v>2.6484915984783424</v>
      </c>
      <c r="AK23" s="53">
        <f t="shared" si="5"/>
        <v>2.6511400900768205</v>
      </c>
      <c r="AL23" s="53">
        <f t="shared" si="5"/>
        <v>2.6537912301668971</v>
      </c>
      <c r="AM23" s="53">
        <f t="shared" si="5"/>
        <v>2.6564450213970638</v>
      </c>
      <c r="AN23" s="53">
        <f t="shared" si="5"/>
        <v>2.6591014664184605</v>
      </c>
      <c r="AO23" s="53">
        <f t="shared" si="5"/>
        <v>2.6617605678848788</v>
      </c>
      <c r="AP23" s="53">
        <f t="shared" si="5"/>
        <v>2.6644223284527633</v>
      </c>
      <c r="AQ23" s="53">
        <f t="shared" si="5"/>
        <v>2.6670867507812157</v>
      </c>
      <c r="AR23" s="53">
        <f t="shared" si="5"/>
        <v>2.6697538375319967</v>
      </c>
      <c r="AS23" s="53">
        <f t="shared" si="5"/>
        <v>2.6724235913695282</v>
      </c>
      <c r="AT23" s="53">
        <f t="shared" si="5"/>
        <v>2.6750960149608973</v>
      </c>
      <c r="AU23" s="53">
        <f t="shared" si="5"/>
        <v>2.6777711109758577</v>
      </c>
      <c r="AV23" s="53">
        <f t="shared" si="5"/>
        <v>2.6804488820868335</v>
      </c>
      <c r="AW23" s="53">
        <f t="shared" si="5"/>
        <v>2.6831293309689199</v>
      </c>
      <c r="AX23" s="53">
        <f t="shared" si="5"/>
        <v>2.6858124602998887</v>
      </c>
      <c r="AY23" s="53">
        <f t="shared" si="5"/>
        <v>2.6884982727601883</v>
      </c>
      <c r="AZ23" s="53">
        <f t="shared" si="5"/>
        <v>2.6911867710329482</v>
      </c>
      <c r="BA23" s="53">
        <f t="shared" si="5"/>
        <v>2.6938779578039811</v>
      </c>
      <c r="BB23" s="53">
        <f t="shared" si="5"/>
        <v>2.6965718357617847</v>
      </c>
      <c r="BC23" s="53">
        <f t="shared" si="5"/>
        <v>2.6992684075975464</v>
      </c>
      <c r="BD23" s="53">
        <f t="shared" si="5"/>
        <v>2.7019676760051436</v>
      </c>
      <c r="BE23" s="53">
        <f t="shared" si="5"/>
        <v>2.7046696436811484</v>
      </c>
      <c r="BF23" s="53">
        <f t="shared" si="5"/>
        <v>2.7073743133248294</v>
      </c>
      <c r="BG23" s="53">
        <f t="shared" si="5"/>
        <v>2.7100816876381537</v>
      </c>
      <c r="BH23" s="53">
        <f t="shared" si="5"/>
        <v>2.7127917693257917</v>
      </c>
      <c r="BI23" s="53">
        <f t="shared" si="5"/>
        <v>2.7155045610951172</v>
      </c>
    </row>
    <row r="24" spans="1:61" x14ac:dyDescent="0.25">
      <c r="A24" s="30" t="s">
        <v>123</v>
      </c>
      <c r="B24" s="51">
        <v>1E-3</v>
      </c>
      <c r="C24" s="51">
        <v>1E-3</v>
      </c>
      <c r="D24" s="51">
        <v>1E-3</v>
      </c>
      <c r="E24" s="51">
        <v>1E-3</v>
      </c>
      <c r="F24" s="51">
        <v>1E-3</v>
      </c>
      <c r="G24" s="51">
        <v>1E-3</v>
      </c>
      <c r="H24" s="51">
        <v>1E-3</v>
      </c>
      <c r="I24" s="51">
        <v>1E-3</v>
      </c>
      <c r="J24" s="51">
        <v>1E-3</v>
      </c>
      <c r="K24" s="51">
        <v>1E-3</v>
      </c>
      <c r="L24" s="51">
        <v>1E-3</v>
      </c>
      <c r="M24" s="51">
        <v>1E-3</v>
      </c>
      <c r="N24" s="51">
        <v>1E-3</v>
      </c>
      <c r="O24" s="51">
        <v>1E-3</v>
      </c>
      <c r="P24" s="51">
        <v>1E-3</v>
      </c>
      <c r="Q24" s="51">
        <v>1E-3</v>
      </c>
      <c r="R24" s="51">
        <v>1E-3</v>
      </c>
      <c r="S24" s="51">
        <v>1E-3</v>
      </c>
      <c r="T24" s="51">
        <v>1E-3</v>
      </c>
      <c r="U24" s="51">
        <v>1E-3</v>
      </c>
      <c r="V24" s="51">
        <v>1E-3</v>
      </c>
      <c r="W24" s="51">
        <v>1E-3</v>
      </c>
      <c r="X24" s="51">
        <v>1E-3</v>
      </c>
      <c r="Y24" s="51">
        <v>1E-3</v>
      </c>
      <c r="Z24" s="51">
        <v>1E-3</v>
      </c>
      <c r="AA24" s="51">
        <v>1E-3</v>
      </c>
      <c r="AB24" s="51">
        <v>1E-3</v>
      </c>
      <c r="AC24" s="51">
        <v>1E-3</v>
      </c>
      <c r="AD24" s="51">
        <v>1E-3</v>
      </c>
      <c r="AE24" s="51">
        <v>1E-3</v>
      </c>
      <c r="AF24" s="51">
        <v>1E-3</v>
      </c>
      <c r="AG24" s="51">
        <v>1E-3</v>
      </c>
      <c r="AH24" s="51">
        <v>1E-3</v>
      </c>
      <c r="AI24" s="51">
        <v>1E-3</v>
      </c>
      <c r="AJ24" s="51">
        <v>1E-3</v>
      </c>
      <c r="AK24" s="51">
        <v>1E-3</v>
      </c>
      <c r="AL24" s="51">
        <v>1E-3</v>
      </c>
      <c r="AM24" s="51">
        <v>1E-3</v>
      </c>
      <c r="AN24" s="51">
        <v>1E-3</v>
      </c>
      <c r="AO24" s="51">
        <v>1E-3</v>
      </c>
      <c r="AP24" s="51">
        <v>1E-3</v>
      </c>
      <c r="AQ24" s="51">
        <v>1E-3</v>
      </c>
      <c r="AR24" s="51">
        <v>1E-3</v>
      </c>
      <c r="AS24" s="51">
        <v>1E-3</v>
      </c>
      <c r="AT24" s="51">
        <v>1E-3</v>
      </c>
      <c r="AU24" s="51">
        <v>1E-3</v>
      </c>
      <c r="AV24" s="51">
        <v>1E-3</v>
      </c>
      <c r="AW24" s="51">
        <v>1E-3</v>
      </c>
      <c r="AX24" s="51">
        <v>1E-3</v>
      </c>
      <c r="AY24" s="51">
        <v>1E-3</v>
      </c>
      <c r="AZ24" s="51">
        <v>1E-3</v>
      </c>
      <c r="BA24" s="51">
        <v>1E-3</v>
      </c>
      <c r="BB24" s="51">
        <v>1E-3</v>
      </c>
      <c r="BC24" s="51">
        <v>1E-3</v>
      </c>
      <c r="BD24" s="51">
        <v>1E-3</v>
      </c>
      <c r="BE24" s="51">
        <v>1E-3</v>
      </c>
      <c r="BF24" s="51">
        <v>1E-3</v>
      </c>
      <c r="BG24" s="51">
        <v>1E-3</v>
      </c>
      <c r="BH24" s="51">
        <v>1E-3</v>
      </c>
      <c r="BI24" s="51">
        <v>1E-3</v>
      </c>
    </row>
    <row r="25" spans="1:61" x14ac:dyDescent="0.25">
      <c r="A25" t="s">
        <v>134</v>
      </c>
      <c r="B25" s="52">
        <f>(B11/B21)*B23</f>
        <v>3840</v>
      </c>
      <c r="C25" s="52">
        <f t="shared" ref="C25:BI25" si="6">(C11/C21)*C23</f>
        <v>3851.5353753753748</v>
      </c>
      <c r="D25" s="52">
        <f t="shared" si="6"/>
        <v>3863.1054030645651</v>
      </c>
      <c r="E25" s="52">
        <f t="shared" si="6"/>
        <v>3874.7101871632594</v>
      </c>
      <c r="F25" s="52">
        <f t="shared" si="6"/>
        <v>3886.3498320798517</v>
      </c>
      <c r="G25" s="52">
        <f t="shared" si="6"/>
        <v>3898.0244425363794</v>
      </c>
      <c r="H25" s="52">
        <f t="shared" si="6"/>
        <v>3909.7341235694635</v>
      </c>
      <c r="I25" s="52">
        <f t="shared" si="6"/>
        <v>3921.4789805312557</v>
      </c>
      <c r="J25" s="52">
        <f t="shared" si="6"/>
        <v>3933.2591190903877</v>
      </c>
      <c r="K25" s="52">
        <f t="shared" si="6"/>
        <v>3945.074645232919</v>
      </c>
      <c r="L25" s="52">
        <f t="shared" si="6"/>
        <v>3956.9256652632935</v>
      </c>
      <c r="M25" s="52">
        <f t="shared" si="6"/>
        <v>3968.8122858052893</v>
      </c>
      <c r="N25" s="52">
        <f t="shared" si="6"/>
        <v>3980.734613802988</v>
      </c>
      <c r="O25" s="52">
        <f t="shared" si="6"/>
        <v>3992.6927565217284</v>
      </c>
      <c r="P25" s="52">
        <f t="shared" si="6"/>
        <v>4004.6868215490772</v>
      </c>
      <c r="Q25" s="52">
        <f t="shared" si="6"/>
        <v>4016.7169167957913</v>
      </c>
      <c r="R25" s="52">
        <f t="shared" si="6"/>
        <v>4028.7831504967958</v>
      </c>
      <c r="S25" s="52">
        <f t="shared" si="6"/>
        <v>4040.8856312121502</v>
      </c>
      <c r="T25" s="52">
        <f t="shared" si="6"/>
        <v>4053.0244678280333</v>
      </c>
      <c r="U25" s="52">
        <f t="shared" si="6"/>
        <v>4065.1997695577138</v>
      </c>
      <c r="V25" s="52">
        <f t="shared" si="6"/>
        <v>4077.4116459425404</v>
      </c>
      <c r="W25" s="52">
        <f t="shared" si="6"/>
        <v>4089.6602068529237</v>
      </c>
      <c r="X25" s="52">
        <f t="shared" si="6"/>
        <v>4101.9455624893253</v>
      </c>
      <c r="Y25" s="52">
        <f t="shared" si="6"/>
        <v>4114.2678233832485</v>
      </c>
      <c r="Z25" s="52">
        <f t="shared" si="6"/>
        <v>4126.6271003982356</v>
      </c>
      <c r="AA25" s="52">
        <f t="shared" si="6"/>
        <v>4139.0235047308634</v>
      </c>
      <c r="AB25" s="52">
        <f t="shared" si="6"/>
        <v>4151.4571479117403</v>
      </c>
      <c r="AC25" s="52">
        <f t="shared" si="6"/>
        <v>4163.9281418065175</v>
      </c>
      <c r="AD25" s="52">
        <f t="shared" si="6"/>
        <v>4176.4365986168877</v>
      </c>
      <c r="AE25" s="52">
        <f t="shared" si="6"/>
        <v>4188.9826308816009</v>
      </c>
      <c r="AF25" s="52">
        <f t="shared" si="6"/>
        <v>4201.5663514774715</v>
      </c>
      <c r="AG25" s="52">
        <f t="shared" si="6"/>
        <v>4214.1878736203971</v>
      </c>
      <c r="AH25" s="52">
        <f t="shared" si="6"/>
        <v>4226.8473108663775</v>
      </c>
      <c r="AI25" s="52">
        <f t="shared" si="6"/>
        <v>4239.5447771125337</v>
      </c>
      <c r="AJ25" s="52">
        <f t="shared" si="6"/>
        <v>4252.2803865981323</v>
      </c>
      <c r="AK25" s="52">
        <f t="shared" si="6"/>
        <v>4265.0542539056205</v>
      </c>
      <c r="AL25" s="52">
        <f t="shared" si="6"/>
        <v>4277.8664939616465</v>
      </c>
      <c r="AM25" s="52">
        <f t="shared" si="6"/>
        <v>4290.7172220381008</v>
      </c>
      <c r="AN25" s="52">
        <f t="shared" si="6"/>
        <v>4303.6065537531513</v>
      </c>
      <c r="AO25" s="52">
        <f t="shared" si="6"/>
        <v>4316.5346050722828</v>
      </c>
      <c r="AP25" s="52">
        <f t="shared" si="6"/>
        <v>4329.5014923093404</v>
      </c>
      <c r="AQ25" s="52">
        <f t="shared" si="6"/>
        <v>4342.5073321275777</v>
      </c>
      <c r="AR25" s="52">
        <f t="shared" si="6"/>
        <v>4355.5522415407049</v>
      </c>
      <c r="AS25" s="52">
        <f t="shared" si="6"/>
        <v>4368.6363379139402</v>
      </c>
      <c r="AT25" s="52">
        <f t="shared" si="6"/>
        <v>4381.75973896507</v>
      </c>
      <c r="AU25" s="52">
        <f t="shared" si="6"/>
        <v>4394.9225627655023</v>
      </c>
      <c r="AV25" s="52">
        <f t="shared" si="6"/>
        <v>4408.1249277413372</v>
      </c>
      <c r="AW25" s="52">
        <f t="shared" si="6"/>
        <v>4421.3669526744206</v>
      </c>
      <c r="AX25" s="52">
        <f t="shared" si="6"/>
        <v>4434.6487567034246</v>
      </c>
      <c r="AY25" s="52">
        <f t="shared" si="6"/>
        <v>4447.9704593249126</v>
      </c>
      <c r="AZ25" s="52">
        <f t="shared" si="6"/>
        <v>4461.3321803944145</v>
      </c>
      <c r="BA25" s="52">
        <f t="shared" si="6"/>
        <v>4474.7340401275114</v>
      </c>
      <c r="BB25" s="52">
        <f t="shared" si="6"/>
        <v>4488.1761591009063</v>
      </c>
      <c r="BC25" s="52">
        <f t="shared" si="6"/>
        <v>4501.6586582535201</v>
      </c>
      <c r="BD25" s="52">
        <f t="shared" si="6"/>
        <v>4515.1816588875718</v>
      </c>
      <c r="BE25" s="52">
        <f t="shared" si="6"/>
        <v>4528.7452826696754</v>
      </c>
      <c r="BF25" s="52">
        <f t="shared" si="6"/>
        <v>4542.3496516319283</v>
      </c>
      <c r="BG25" s="52">
        <f t="shared" si="6"/>
        <v>4555.9948881730161</v>
      </c>
      <c r="BH25" s="52">
        <f t="shared" si="6"/>
        <v>4569.6811150593085</v>
      </c>
      <c r="BI25" s="52">
        <f t="shared" si="6"/>
        <v>4583.4084554259671</v>
      </c>
    </row>
    <row r="26" spans="1:61" x14ac:dyDescent="0.25">
      <c r="A26" s="59" t="s">
        <v>135</v>
      </c>
      <c r="B26" s="52">
        <f>B25*2</f>
        <v>7680</v>
      </c>
      <c r="C26" s="52">
        <f t="shared" ref="C26:BI26" si="7">C25*2</f>
        <v>7703.0707507507495</v>
      </c>
      <c r="D26" s="52">
        <f t="shared" si="7"/>
        <v>7726.2108061291301</v>
      </c>
      <c r="E26" s="52">
        <f t="shared" si="7"/>
        <v>7749.4203743265189</v>
      </c>
      <c r="F26" s="52">
        <f t="shared" si="7"/>
        <v>7772.6996641597034</v>
      </c>
      <c r="G26" s="52">
        <f t="shared" si="7"/>
        <v>7796.0488850727588</v>
      </c>
      <c r="H26" s="52">
        <f t="shared" si="7"/>
        <v>7819.4682471389269</v>
      </c>
      <c r="I26" s="52">
        <f t="shared" si="7"/>
        <v>7842.9579610625115</v>
      </c>
      <c r="J26" s="52">
        <f t="shared" si="7"/>
        <v>7866.5182381807754</v>
      </c>
      <c r="K26" s="52">
        <f t="shared" si="7"/>
        <v>7890.149290465838</v>
      </c>
      <c r="L26" s="52">
        <f t="shared" si="7"/>
        <v>7913.8513305265869</v>
      </c>
      <c r="M26" s="52">
        <f t="shared" si="7"/>
        <v>7937.6245716105786</v>
      </c>
      <c r="N26" s="52">
        <f t="shared" si="7"/>
        <v>7961.4692276059759</v>
      </c>
      <c r="O26" s="52">
        <f t="shared" si="7"/>
        <v>7985.3855130434567</v>
      </c>
      <c r="P26" s="52">
        <f t="shared" si="7"/>
        <v>8009.3736430981544</v>
      </c>
      <c r="Q26" s="52">
        <f t="shared" si="7"/>
        <v>8033.4338335915827</v>
      </c>
      <c r="R26" s="52">
        <f t="shared" si="7"/>
        <v>8057.5663009935915</v>
      </c>
      <c r="S26" s="52">
        <f t="shared" si="7"/>
        <v>8081.7712624243004</v>
      </c>
      <c r="T26" s="52">
        <f t="shared" si="7"/>
        <v>8106.0489356560665</v>
      </c>
      <c r="U26" s="52">
        <f t="shared" si="7"/>
        <v>8130.3995391154276</v>
      </c>
      <c r="V26" s="52">
        <f t="shared" si="7"/>
        <v>8154.8232918850808</v>
      </c>
      <c r="W26" s="52">
        <f t="shared" si="7"/>
        <v>8179.3204137058474</v>
      </c>
      <c r="X26" s="52">
        <f t="shared" si="7"/>
        <v>8203.8911249786506</v>
      </c>
      <c r="Y26" s="52">
        <f t="shared" si="7"/>
        <v>8228.5356467664969</v>
      </c>
      <c r="Z26" s="52">
        <f t="shared" si="7"/>
        <v>8253.2542007964712</v>
      </c>
      <c r="AA26" s="52">
        <f t="shared" si="7"/>
        <v>8278.0470094617267</v>
      </c>
      <c r="AB26" s="52">
        <f t="shared" si="7"/>
        <v>8302.9142958234806</v>
      </c>
      <c r="AC26" s="52">
        <f t="shared" si="7"/>
        <v>8327.856283613035</v>
      </c>
      <c r="AD26" s="52">
        <f t="shared" si="7"/>
        <v>8352.8731972337755</v>
      </c>
      <c r="AE26" s="52">
        <f t="shared" si="7"/>
        <v>8377.9652617632019</v>
      </c>
      <c r="AF26" s="52">
        <f t="shared" si="7"/>
        <v>8403.1327029549429</v>
      </c>
      <c r="AG26" s="52">
        <f t="shared" si="7"/>
        <v>8428.3757472407942</v>
      </c>
      <c r="AH26" s="52">
        <f t="shared" si="7"/>
        <v>8453.694621732755</v>
      </c>
      <c r="AI26" s="52">
        <f t="shared" si="7"/>
        <v>8479.0895542250673</v>
      </c>
      <c r="AJ26" s="52">
        <f t="shared" si="7"/>
        <v>8504.5607731962646</v>
      </c>
      <c r="AK26" s="52">
        <f t="shared" si="7"/>
        <v>8530.108507811241</v>
      </c>
      <c r="AL26" s="52">
        <f t="shared" si="7"/>
        <v>8555.732987923293</v>
      </c>
      <c r="AM26" s="52">
        <f t="shared" si="7"/>
        <v>8581.4344440762015</v>
      </c>
      <c r="AN26" s="52">
        <f t="shared" si="7"/>
        <v>8607.2131075063025</v>
      </c>
      <c r="AO26" s="52">
        <f t="shared" si="7"/>
        <v>8633.0692101445657</v>
      </c>
      <c r="AP26" s="52">
        <f t="shared" si="7"/>
        <v>8659.0029846186808</v>
      </c>
      <c r="AQ26" s="52">
        <f t="shared" si="7"/>
        <v>8685.0146642551554</v>
      </c>
      <c r="AR26" s="52">
        <f t="shared" si="7"/>
        <v>8711.1044830814099</v>
      </c>
      <c r="AS26" s="52">
        <f t="shared" si="7"/>
        <v>8737.2726758278804</v>
      </c>
      <c r="AT26" s="52">
        <f t="shared" si="7"/>
        <v>8763.5194779301401</v>
      </c>
      <c r="AU26" s="52">
        <f t="shared" si="7"/>
        <v>8789.8451255310047</v>
      </c>
      <c r="AV26" s="52">
        <f t="shared" si="7"/>
        <v>8816.2498554826743</v>
      </c>
      <c r="AW26" s="52">
        <f t="shared" si="7"/>
        <v>8842.7339053488413</v>
      </c>
      <c r="AX26" s="52">
        <f t="shared" si="7"/>
        <v>8869.2975134068492</v>
      </c>
      <c r="AY26" s="52">
        <f t="shared" si="7"/>
        <v>8895.9409186498251</v>
      </c>
      <c r="AZ26" s="52">
        <f t="shared" si="7"/>
        <v>8922.6643607888291</v>
      </c>
      <c r="BA26" s="52">
        <f t="shared" si="7"/>
        <v>8949.4680802550229</v>
      </c>
      <c r="BB26" s="52">
        <f t="shared" si="7"/>
        <v>8976.3523182018125</v>
      </c>
      <c r="BC26" s="52">
        <f t="shared" si="7"/>
        <v>9003.3173165070402</v>
      </c>
      <c r="BD26" s="52">
        <f t="shared" si="7"/>
        <v>9030.3633177751435</v>
      </c>
      <c r="BE26" s="52">
        <f t="shared" si="7"/>
        <v>9057.4905653393507</v>
      </c>
      <c r="BF26" s="52">
        <f t="shared" si="7"/>
        <v>9084.6993032638566</v>
      </c>
      <c r="BG26" s="52">
        <f t="shared" si="7"/>
        <v>9111.9897763460322</v>
      </c>
      <c r="BH26" s="52">
        <f t="shared" si="7"/>
        <v>9139.3622301186169</v>
      </c>
      <c r="BI26" s="52">
        <f t="shared" si="7"/>
        <v>9166.8169108519342</v>
      </c>
    </row>
    <row r="29" spans="1:61" x14ac:dyDescent="0.25">
      <c r="A29" s="4" t="s">
        <v>136</v>
      </c>
    </row>
    <row r="30" spans="1:61" x14ac:dyDescent="0.25">
      <c r="A30" s="59" t="s">
        <v>137</v>
      </c>
      <c r="B30" s="63">
        <v>2</v>
      </c>
      <c r="C30" s="63">
        <v>2</v>
      </c>
      <c r="D30" s="63">
        <v>2</v>
      </c>
      <c r="E30" s="63">
        <v>2</v>
      </c>
      <c r="F30" s="63">
        <v>2</v>
      </c>
      <c r="G30" s="63">
        <v>2</v>
      </c>
      <c r="H30" s="63">
        <v>2</v>
      </c>
      <c r="I30" s="63">
        <v>2</v>
      </c>
      <c r="J30" s="63">
        <v>2</v>
      </c>
      <c r="K30" s="63">
        <v>2</v>
      </c>
      <c r="L30" s="63">
        <v>2</v>
      </c>
      <c r="M30" s="63">
        <v>2</v>
      </c>
      <c r="N30" s="63">
        <v>2</v>
      </c>
      <c r="O30" s="63">
        <v>2</v>
      </c>
      <c r="P30" s="63">
        <v>2</v>
      </c>
      <c r="Q30" s="63">
        <v>2</v>
      </c>
      <c r="R30" s="63">
        <v>2</v>
      </c>
      <c r="S30" s="63">
        <v>2</v>
      </c>
      <c r="T30" s="63">
        <v>2</v>
      </c>
      <c r="U30" s="63">
        <v>2</v>
      </c>
      <c r="V30" s="63">
        <v>2</v>
      </c>
      <c r="W30" s="63">
        <v>2</v>
      </c>
      <c r="X30" s="63">
        <v>2</v>
      </c>
      <c r="Y30" s="63">
        <v>2</v>
      </c>
      <c r="Z30" s="63">
        <v>2</v>
      </c>
      <c r="AA30" s="63">
        <v>2</v>
      </c>
      <c r="AB30" s="63">
        <v>2</v>
      </c>
      <c r="AC30" s="63">
        <v>2</v>
      </c>
      <c r="AD30" s="63">
        <v>2</v>
      </c>
      <c r="AE30" s="63">
        <v>2</v>
      </c>
      <c r="AF30" s="63">
        <v>2</v>
      </c>
      <c r="AG30" s="63">
        <v>2</v>
      </c>
      <c r="AH30" s="63">
        <v>2</v>
      </c>
      <c r="AI30" s="63">
        <v>2</v>
      </c>
      <c r="AJ30" s="63">
        <v>2</v>
      </c>
      <c r="AK30" s="63">
        <v>2</v>
      </c>
      <c r="AL30" s="63">
        <v>2</v>
      </c>
      <c r="AM30" s="63">
        <v>2</v>
      </c>
      <c r="AN30" s="63">
        <v>2</v>
      </c>
      <c r="AO30" s="63">
        <v>2</v>
      </c>
      <c r="AP30" s="63">
        <v>2</v>
      </c>
      <c r="AQ30" s="63">
        <v>2</v>
      </c>
      <c r="AR30" s="63">
        <v>2</v>
      </c>
      <c r="AS30" s="63">
        <v>2</v>
      </c>
      <c r="AT30" s="63">
        <v>2</v>
      </c>
      <c r="AU30" s="63">
        <v>2</v>
      </c>
      <c r="AV30" s="63">
        <v>2</v>
      </c>
      <c r="AW30" s="63">
        <v>2</v>
      </c>
      <c r="AX30" s="63">
        <v>2</v>
      </c>
      <c r="AY30" s="63">
        <v>2</v>
      </c>
      <c r="AZ30" s="63">
        <v>2</v>
      </c>
      <c r="BA30" s="63">
        <v>2</v>
      </c>
      <c r="BB30" s="63">
        <v>2</v>
      </c>
      <c r="BC30" s="63">
        <v>2</v>
      </c>
      <c r="BD30" s="63">
        <v>2</v>
      </c>
      <c r="BE30" s="63">
        <v>2</v>
      </c>
      <c r="BF30" s="63">
        <v>2</v>
      </c>
      <c r="BG30" s="63">
        <v>2</v>
      </c>
      <c r="BH30" s="63">
        <v>2</v>
      </c>
      <c r="BI30" s="63">
        <v>2</v>
      </c>
    </row>
    <row r="31" spans="1:61" x14ac:dyDescent="0.25">
      <c r="A31" s="59" t="s">
        <v>140</v>
      </c>
      <c r="B31" s="67">
        <f>B11/B30</f>
        <v>6000</v>
      </c>
      <c r="C31" s="67">
        <f t="shared" ref="C31:BI31" si="8">C11/C30</f>
        <v>6005.9999999999991</v>
      </c>
      <c r="D31" s="67">
        <f t="shared" si="8"/>
        <v>6012.0059999999985</v>
      </c>
      <c r="E31" s="67">
        <f t="shared" si="8"/>
        <v>6018.0180059999975</v>
      </c>
      <c r="F31" s="67">
        <f t="shared" si="8"/>
        <v>6024.0360240059972</v>
      </c>
      <c r="G31" s="67">
        <f t="shared" si="8"/>
        <v>6030.0600600300022</v>
      </c>
      <c r="H31" s="67">
        <f t="shared" si="8"/>
        <v>6036.0901200900316</v>
      </c>
      <c r="I31" s="67">
        <f t="shared" si="8"/>
        <v>6042.1262102101209</v>
      </c>
      <c r="J31" s="67">
        <f t="shared" si="8"/>
        <v>6048.16833642033</v>
      </c>
      <c r="K31" s="67">
        <f t="shared" si="8"/>
        <v>6054.2165047567496</v>
      </c>
      <c r="L31" s="67">
        <f t="shared" si="8"/>
        <v>6060.270721261506</v>
      </c>
      <c r="M31" s="67">
        <f t="shared" si="8"/>
        <v>6066.330991982767</v>
      </c>
      <c r="N31" s="67">
        <f t="shared" si="8"/>
        <v>6072.3973229747489</v>
      </c>
      <c r="O31" s="67">
        <f t="shared" si="8"/>
        <v>6078.4697202977231</v>
      </c>
      <c r="P31" s="67">
        <f t="shared" si="8"/>
        <v>6084.5481900180203</v>
      </c>
      <c r="Q31" s="67">
        <f t="shared" si="8"/>
        <v>6090.6327382080372</v>
      </c>
      <c r="R31" s="67">
        <f t="shared" si="8"/>
        <v>6096.7233709462444</v>
      </c>
      <c r="S31" s="67">
        <f t="shared" si="8"/>
        <v>6102.8200943171896</v>
      </c>
      <c r="T31" s="67">
        <f t="shared" si="8"/>
        <v>6108.9229144115061</v>
      </c>
      <c r="U31" s="67">
        <f t="shared" si="8"/>
        <v>6115.031837325917</v>
      </c>
      <c r="V31" s="67">
        <f t="shared" si="8"/>
        <v>6121.1468691632426</v>
      </c>
      <c r="W31" s="67">
        <f t="shared" si="8"/>
        <v>6127.2680160324053</v>
      </c>
      <c r="X31" s="67">
        <f t="shared" si="8"/>
        <v>6133.3952840484371</v>
      </c>
      <c r="Y31" s="67">
        <f t="shared" si="8"/>
        <v>6139.5286793324849</v>
      </c>
      <c r="Z31" s="67">
        <f t="shared" si="8"/>
        <v>6145.6682080118171</v>
      </c>
      <c r="AA31" s="67">
        <f t="shared" si="8"/>
        <v>6151.8138762198287</v>
      </c>
      <c r="AB31" s="67">
        <f t="shared" si="8"/>
        <v>6157.9656900960481</v>
      </c>
      <c r="AC31" s="67">
        <f t="shared" si="8"/>
        <v>6164.1236557861439</v>
      </c>
      <c r="AD31" s="67">
        <f t="shared" si="8"/>
        <v>6170.2877794419292</v>
      </c>
      <c r="AE31" s="67">
        <f t="shared" si="8"/>
        <v>6176.4580672213706</v>
      </c>
      <c r="AF31" s="67">
        <f t="shared" si="8"/>
        <v>6182.6345252885912</v>
      </c>
      <c r="AG31" s="67">
        <f t="shared" si="8"/>
        <v>6188.8171598138788</v>
      </c>
      <c r="AH31" s="67">
        <f t="shared" si="8"/>
        <v>6195.0059769736918</v>
      </c>
      <c r="AI31" s="67">
        <f t="shared" si="8"/>
        <v>6201.2009829506651</v>
      </c>
      <c r="AJ31" s="67">
        <f t="shared" si="8"/>
        <v>6207.4021839336147</v>
      </c>
      <c r="AK31" s="67">
        <f t="shared" si="8"/>
        <v>6213.6095861175472</v>
      </c>
      <c r="AL31" s="67">
        <f t="shared" si="8"/>
        <v>6219.8231957036642</v>
      </c>
      <c r="AM31" s="67">
        <f t="shared" si="8"/>
        <v>6226.0430188993669</v>
      </c>
      <c r="AN31" s="67">
        <f t="shared" si="8"/>
        <v>6232.2690619182658</v>
      </c>
      <c r="AO31" s="67">
        <f t="shared" si="8"/>
        <v>6238.5013309801834</v>
      </c>
      <c r="AP31" s="67">
        <f t="shared" si="8"/>
        <v>6244.7398323111629</v>
      </c>
      <c r="AQ31" s="67">
        <f t="shared" si="8"/>
        <v>6250.9845721434731</v>
      </c>
      <c r="AR31" s="67">
        <f t="shared" si="8"/>
        <v>6257.2355567156155</v>
      </c>
      <c r="AS31" s="67">
        <f t="shared" si="8"/>
        <v>6263.49279227233</v>
      </c>
      <c r="AT31" s="67">
        <f t="shared" si="8"/>
        <v>6269.7562850646018</v>
      </c>
      <c r="AU31" s="67">
        <f t="shared" si="8"/>
        <v>6276.0260413496653</v>
      </c>
      <c r="AV31" s="67">
        <f t="shared" si="8"/>
        <v>6282.3020673910141</v>
      </c>
      <c r="AW31" s="67">
        <f t="shared" si="8"/>
        <v>6288.5843694584046</v>
      </c>
      <c r="AX31" s="67">
        <f t="shared" si="8"/>
        <v>6294.8729538278621</v>
      </c>
      <c r="AY31" s="67">
        <f t="shared" si="8"/>
        <v>6301.1678267816897</v>
      </c>
      <c r="AZ31" s="67">
        <f t="shared" si="8"/>
        <v>6307.4689946084709</v>
      </c>
      <c r="BA31" s="67">
        <f t="shared" si="8"/>
        <v>6313.7764636030788</v>
      </c>
      <c r="BB31" s="67">
        <f t="shared" si="8"/>
        <v>6320.090240066681</v>
      </c>
      <c r="BC31" s="67">
        <f t="shared" si="8"/>
        <v>6326.4103303067468</v>
      </c>
      <c r="BD31" s="67">
        <f t="shared" si="8"/>
        <v>6332.7367406370531</v>
      </c>
      <c r="BE31" s="67">
        <f t="shared" si="8"/>
        <v>6339.0694773776895</v>
      </c>
      <c r="BF31" s="67">
        <f t="shared" si="8"/>
        <v>6345.4085468550666</v>
      </c>
      <c r="BG31" s="67">
        <f t="shared" si="8"/>
        <v>6351.7539554019213</v>
      </c>
      <c r="BH31" s="67">
        <f t="shared" si="8"/>
        <v>6358.1057093573227</v>
      </c>
      <c r="BI31" s="67">
        <f t="shared" si="8"/>
        <v>6364.4638150666797</v>
      </c>
    </row>
    <row r="32" spans="1:61" x14ac:dyDescent="0.25">
      <c r="A32" s="59" t="s">
        <v>139</v>
      </c>
      <c r="B32" s="50">
        <v>0.42</v>
      </c>
      <c r="C32" s="53">
        <f>B32+(1*B33)</f>
        <v>0.42</v>
      </c>
      <c r="D32" s="53">
        <f t="shared" ref="D32:BI32" si="9">C32+(1*C33)</f>
        <v>0.42</v>
      </c>
      <c r="E32" s="53">
        <f t="shared" si="9"/>
        <v>0.42</v>
      </c>
      <c r="F32" s="53">
        <f t="shared" si="9"/>
        <v>0.42</v>
      </c>
      <c r="G32" s="53">
        <f t="shared" si="9"/>
        <v>0.42</v>
      </c>
      <c r="H32" s="53">
        <f t="shared" si="9"/>
        <v>0.42</v>
      </c>
      <c r="I32" s="53">
        <f t="shared" si="9"/>
        <v>0.42</v>
      </c>
      <c r="J32" s="53">
        <f t="shared" si="9"/>
        <v>0.42</v>
      </c>
      <c r="K32" s="53">
        <f t="shared" si="9"/>
        <v>0.42</v>
      </c>
      <c r="L32" s="53">
        <f t="shared" si="9"/>
        <v>0.42</v>
      </c>
      <c r="M32" s="53">
        <f t="shared" si="9"/>
        <v>0.42</v>
      </c>
      <c r="N32" s="53">
        <f t="shared" si="9"/>
        <v>0.43</v>
      </c>
      <c r="O32" s="53">
        <f t="shared" si="9"/>
        <v>0.43</v>
      </c>
      <c r="P32" s="53">
        <f t="shared" si="9"/>
        <v>0.43</v>
      </c>
      <c r="Q32" s="53">
        <f t="shared" si="9"/>
        <v>0.43</v>
      </c>
      <c r="R32" s="53">
        <f t="shared" si="9"/>
        <v>0.43</v>
      </c>
      <c r="S32" s="53">
        <f t="shared" si="9"/>
        <v>0.43</v>
      </c>
      <c r="T32" s="53">
        <f t="shared" si="9"/>
        <v>0.43</v>
      </c>
      <c r="U32" s="53">
        <f t="shared" si="9"/>
        <v>0.43</v>
      </c>
      <c r="V32" s="53">
        <f t="shared" si="9"/>
        <v>0.43</v>
      </c>
      <c r="W32" s="53">
        <f t="shared" si="9"/>
        <v>0.43</v>
      </c>
      <c r="X32" s="53">
        <f t="shared" si="9"/>
        <v>0.43</v>
      </c>
      <c r="Y32" s="53">
        <f t="shared" si="9"/>
        <v>0.43</v>
      </c>
      <c r="Z32" s="53">
        <f t="shared" si="9"/>
        <v>0.44</v>
      </c>
      <c r="AA32" s="53">
        <f t="shared" si="9"/>
        <v>0.44</v>
      </c>
      <c r="AB32" s="53">
        <f t="shared" si="9"/>
        <v>0.44</v>
      </c>
      <c r="AC32" s="53">
        <f t="shared" si="9"/>
        <v>0.44</v>
      </c>
      <c r="AD32" s="53">
        <f t="shared" si="9"/>
        <v>0.44</v>
      </c>
      <c r="AE32" s="53">
        <f t="shared" si="9"/>
        <v>0.44</v>
      </c>
      <c r="AF32" s="53">
        <f t="shared" si="9"/>
        <v>0.44</v>
      </c>
      <c r="AG32" s="53">
        <f t="shared" si="9"/>
        <v>0.44</v>
      </c>
      <c r="AH32" s="53">
        <f t="shared" si="9"/>
        <v>0.44</v>
      </c>
      <c r="AI32" s="53">
        <f t="shared" si="9"/>
        <v>0.44</v>
      </c>
      <c r="AJ32" s="53">
        <f t="shared" si="9"/>
        <v>0.44</v>
      </c>
      <c r="AK32" s="53">
        <f t="shared" si="9"/>
        <v>0.44</v>
      </c>
      <c r="AL32" s="53">
        <f t="shared" si="9"/>
        <v>0.45</v>
      </c>
      <c r="AM32" s="53">
        <f t="shared" si="9"/>
        <v>0.45</v>
      </c>
      <c r="AN32" s="53">
        <f t="shared" si="9"/>
        <v>0.45</v>
      </c>
      <c r="AO32" s="53">
        <f t="shared" si="9"/>
        <v>0.45</v>
      </c>
      <c r="AP32" s="53">
        <f t="shared" si="9"/>
        <v>0.45</v>
      </c>
      <c r="AQ32" s="53">
        <f t="shared" si="9"/>
        <v>0.45</v>
      </c>
      <c r="AR32" s="53">
        <f t="shared" si="9"/>
        <v>0.45</v>
      </c>
      <c r="AS32" s="53">
        <f t="shared" si="9"/>
        <v>0.45</v>
      </c>
      <c r="AT32" s="53">
        <f t="shared" si="9"/>
        <v>0.45</v>
      </c>
      <c r="AU32" s="53">
        <f t="shared" si="9"/>
        <v>0.45</v>
      </c>
      <c r="AV32" s="53">
        <f t="shared" si="9"/>
        <v>0.45</v>
      </c>
      <c r="AW32" s="53">
        <f t="shared" si="9"/>
        <v>0.45</v>
      </c>
      <c r="AX32" s="53">
        <f t="shared" si="9"/>
        <v>0.46</v>
      </c>
      <c r="AY32" s="53">
        <f t="shared" si="9"/>
        <v>0.46</v>
      </c>
      <c r="AZ32" s="53">
        <f t="shared" si="9"/>
        <v>0.46</v>
      </c>
      <c r="BA32" s="53">
        <f t="shared" si="9"/>
        <v>0.46</v>
      </c>
      <c r="BB32" s="53">
        <f t="shared" si="9"/>
        <v>0.46</v>
      </c>
      <c r="BC32" s="53">
        <f t="shared" si="9"/>
        <v>0.46</v>
      </c>
      <c r="BD32" s="53">
        <f t="shared" si="9"/>
        <v>0.46</v>
      </c>
      <c r="BE32" s="53">
        <f t="shared" si="9"/>
        <v>0.46</v>
      </c>
      <c r="BF32" s="53">
        <f t="shared" si="9"/>
        <v>0.46</v>
      </c>
      <c r="BG32" s="53">
        <f t="shared" si="9"/>
        <v>0.46</v>
      </c>
      <c r="BH32" s="53">
        <f t="shared" si="9"/>
        <v>0.46</v>
      </c>
      <c r="BI32" s="53">
        <f t="shared" si="9"/>
        <v>0.46</v>
      </c>
    </row>
    <row r="33" spans="1:61" x14ac:dyDescent="0.25">
      <c r="A33" s="59" t="s">
        <v>123</v>
      </c>
      <c r="B33" s="51">
        <f>B40</f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71">
        <f>B41</f>
        <v>0.01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71">
        <f>B42</f>
        <v>0.01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71">
        <f>B43</f>
        <v>0.01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71">
        <f>B44</f>
        <v>0.01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</row>
    <row r="34" spans="1:61" x14ac:dyDescent="0.25">
      <c r="A34" s="59" t="s">
        <v>141</v>
      </c>
      <c r="B34" s="52">
        <f t="shared" ref="B34:AG34" si="10">B31*B32</f>
        <v>2520</v>
      </c>
      <c r="C34" s="52">
        <f t="shared" si="10"/>
        <v>2522.5199999999995</v>
      </c>
      <c r="D34" s="52">
        <f t="shared" si="10"/>
        <v>2525.0425199999991</v>
      </c>
      <c r="E34" s="52">
        <f t="shared" si="10"/>
        <v>2527.5675625199988</v>
      </c>
      <c r="F34" s="52">
        <f t="shared" si="10"/>
        <v>2530.0951300825186</v>
      </c>
      <c r="G34" s="52">
        <f t="shared" si="10"/>
        <v>2532.625225212601</v>
      </c>
      <c r="H34" s="52">
        <f t="shared" si="10"/>
        <v>2535.1578504378131</v>
      </c>
      <c r="I34" s="52">
        <f t="shared" si="10"/>
        <v>2537.6930082882509</v>
      </c>
      <c r="J34" s="52">
        <f t="shared" si="10"/>
        <v>2540.2307012965384</v>
      </c>
      <c r="K34" s="52">
        <f t="shared" si="10"/>
        <v>2542.7709319978349</v>
      </c>
      <c r="L34" s="52">
        <f t="shared" si="10"/>
        <v>2545.3137029298323</v>
      </c>
      <c r="M34" s="52">
        <f t="shared" si="10"/>
        <v>2547.8590166327622</v>
      </c>
      <c r="N34" s="52">
        <f t="shared" si="10"/>
        <v>2611.1308488791419</v>
      </c>
      <c r="O34" s="52">
        <f t="shared" si="10"/>
        <v>2613.7419797280209</v>
      </c>
      <c r="P34" s="52">
        <f t="shared" si="10"/>
        <v>2616.3557217077487</v>
      </c>
      <c r="Q34" s="52">
        <f t="shared" si="10"/>
        <v>2618.972077429456</v>
      </c>
      <c r="R34" s="52">
        <f t="shared" si="10"/>
        <v>2621.5910495068852</v>
      </c>
      <c r="S34" s="52">
        <f t="shared" si="10"/>
        <v>2624.2126405563913</v>
      </c>
      <c r="T34" s="52">
        <f t="shared" si="10"/>
        <v>2626.8368531969477</v>
      </c>
      <c r="U34" s="52">
        <f t="shared" si="10"/>
        <v>2629.4636900501441</v>
      </c>
      <c r="V34" s="52">
        <f t="shared" si="10"/>
        <v>2632.0931537401943</v>
      </c>
      <c r="W34" s="52">
        <f t="shared" si="10"/>
        <v>2634.7252468939341</v>
      </c>
      <c r="X34" s="52">
        <f t="shared" si="10"/>
        <v>2637.3599721408277</v>
      </c>
      <c r="Y34" s="52">
        <f t="shared" si="10"/>
        <v>2639.9973321129683</v>
      </c>
      <c r="Z34" s="52">
        <f t="shared" si="10"/>
        <v>2704.0940115251997</v>
      </c>
      <c r="AA34" s="52">
        <f t="shared" si="10"/>
        <v>2706.7981055367245</v>
      </c>
      <c r="AB34" s="52">
        <f t="shared" si="10"/>
        <v>2709.5049036422611</v>
      </c>
      <c r="AC34" s="52">
        <f t="shared" si="10"/>
        <v>2712.2144085459036</v>
      </c>
      <c r="AD34" s="52">
        <f t="shared" si="10"/>
        <v>2714.9266229544487</v>
      </c>
      <c r="AE34" s="52">
        <f t="shared" si="10"/>
        <v>2717.6415495774031</v>
      </c>
      <c r="AF34" s="52">
        <f t="shared" si="10"/>
        <v>2720.35919112698</v>
      </c>
      <c r="AG34" s="52">
        <f t="shared" si="10"/>
        <v>2723.0795503181066</v>
      </c>
      <c r="AH34" s="52">
        <f t="shared" ref="AH34:BI34" si="11">AH31*AH32</f>
        <v>2725.8026298684244</v>
      </c>
      <c r="AI34" s="52">
        <f t="shared" si="11"/>
        <v>2728.5284324982927</v>
      </c>
      <c r="AJ34" s="52">
        <f t="shared" si="11"/>
        <v>2731.2569609307907</v>
      </c>
      <c r="AK34" s="52">
        <f t="shared" si="11"/>
        <v>2733.988217891721</v>
      </c>
      <c r="AL34" s="52">
        <f t="shared" si="11"/>
        <v>2798.9204380666488</v>
      </c>
      <c r="AM34" s="52">
        <f t="shared" si="11"/>
        <v>2801.7193585047153</v>
      </c>
      <c r="AN34" s="52">
        <f t="shared" si="11"/>
        <v>2804.5210778632195</v>
      </c>
      <c r="AO34" s="52">
        <f t="shared" si="11"/>
        <v>2807.3255989410827</v>
      </c>
      <c r="AP34" s="52">
        <f t="shared" si="11"/>
        <v>2810.1329245400234</v>
      </c>
      <c r="AQ34" s="52">
        <f t="shared" si="11"/>
        <v>2812.943057464563</v>
      </c>
      <c r="AR34" s="52">
        <f t="shared" si="11"/>
        <v>2815.7560005220271</v>
      </c>
      <c r="AS34" s="52">
        <f t="shared" si="11"/>
        <v>2818.5717565225486</v>
      </c>
      <c r="AT34" s="52">
        <f t="shared" si="11"/>
        <v>2821.3903282790707</v>
      </c>
      <c r="AU34" s="52">
        <f t="shared" si="11"/>
        <v>2824.2117186073497</v>
      </c>
      <c r="AV34" s="52">
        <f t="shared" si="11"/>
        <v>2827.0359303259565</v>
      </c>
      <c r="AW34" s="52">
        <f t="shared" si="11"/>
        <v>2829.8629662562821</v>
      </c>
      <c r="AX34" s="52">
        <f t="shared" si="11"/>
        <v>2895.6415587608167</v>
      </c>
      <c r="AY34" s="52">
        <f t="shared" si="11"/>
        <v>2898.5372003195776</v>
      </c>
      <c r="AZ34" s="52">
        <f t="shared" si="11"/>
        <v>2901.4357375198965</v>
      </c>
      <c r="BA34" s="52">
        <f t="shared" si="11"/>
        <v>2904.3371732574165</v>
      </c>
      <c r="BB34" s="52">
        <f t="shared" si="11"/>
        <v>2907.2415104306733</v>
      </c>
      <c r="BC34" s="52">
        <f t="shared" si="11"/>
        <v>2910.1487519411035</v>
      </c>
      <c r="BD34" s="52">
        <f t="shared" si="11"/>
        <v>2913.0589006930445</v>
      </c>
      <c r="BE34" s="52">
        <f t="shared" si="11"/>
        <v>2915.9719595937372</v>
      </c>
      <c r="BF34" s="52">
        <f t="shared" si="11"/>
        <v>2918.8879315533309</v>
      </c>
      <c r="BG34" s="52">
        <f t="shared" si="11"/>
        <v>2921.8068194848838</v>
      </c>
      <c r="BH34" s="52">
        <f t="shared" si="11"/>
        <v>2924.7286263043684</v>
      </c>
      <c r="BI34" s="52">
        <f t="shared" si="11"/>
        <v>2927.6533549306728</v>
      </c>
    </row>
    <row r="35" spans="1:61" x14ac:dyDescent="0.25">
      <c r="A35" s="59" t="s">
        <v>138</v>
      </c>
      <c r="B35" s="52">
        <f t="shared" ref="B35:AG35" si="12">B34*B30</f>
        <v>5040</v>
      </c>
      <c r="C35" s="52">
        <f t="shared" si="12"/>
        <v>5045.0399999999991</v>
      </c>
      <c r="D35" s="52">
        <f t="shared" si="12"/>
        <v>5050.0850399999981</v>
      </c>
      <c r="E35" s="52">
        <f t="shared" si="12"/>
        <v>5055.1351250399975</v>
      </c>
      <c r="F35" s="52">
        <f t="shared" si="12"/>
        <v>5060.1902601650372</v>
      </c>
      <c r="G35" s="52">
        <f t="shared" si="12"/>
        <v>5065.250450425202</v>
      </c>
      <c r="H35" s="52">
        <f t="shared" si="12"/>
        <v>5070.3157008756261</v>
      </c>
      <c r="I35" s="52">
        <f t="shared" si="12"/>
        <v>5075.3860165765018</v>
      </c>
      <c r="J35" s="52">
        <f t="shared" si="12"/>
        <v>5080.4614025930769</v>
      </c>
      <c r="K35" s="52">
        <f t="shared" si="12"/>
        <v>5085.5418639956697</v>
      </c>
      <c r="L35" s="52">
        <f t="shared" si="12"/>
        <v>5090.6274058596646</v>
      </c>
      <c r="M35" s="52">
        <f t="shared" si="12"/>
        <v>5095.7180332655244</v>
      </c>
      <c r="N35" s="52">
        <f t="shared" si="12"/>
        <v>5222.2616977582838</v>
      </c>
      <c r="O35" s="52">
        <f t="shared" si="12"/>
        <v>5227.4839594560417</v>
      </c>
      <c r="P35" s="52">
        <f t="shared" si="12"/>
        <v>5232.7114434154973</v>
      </c>
      <c r="Q35" s="52">
        <f t="shared" si="12"/>
        <v>5237.944154858912</v>
      </c>
      <c r="R35" s="52">
        <f t="shared" si="12"/>
        <v>5243.1820990137703</v>
      </c>
      <c r="S35" s="52">
        <f t="shared" si="12"/>
        <v>5248.4252811127826</v>
      </c>
      <c r="T35" s="52">
        <f t="shared" si="12"/>
        <v>5253.6737063938954</v>
      </c>
      <c r="U35" s="52">
        <f t="shared" si="12"/>
        <v>5258.9273801002882</v>
      </c>
      <c r="V35" s="52">
        <f t="shared" si="12"/>
        <v>5264.1863074803887</v>
      </c>
      <c r="W35" s="52">
        <f t="shared" si="12"/>
        <v>5269.4504937878683</v>
      </c>
      <c r="X35" s="52">
        <f t="shared" si="12"/>
        <v>5274.7199442816554</v>
      </c>
      <c r="Y35" s="52">
        <f t="shared" si="12"/>
        <v>5279.9946642259365</v>
      </c>
      <c r="Z35" s="52">
        <f t="shared" si="12"/>
        <v>5408.1880230503994</v>
      </c>
      <c r="AA35" s="52">
        <f t="shared" si="12"/>
        <v>5413.596211073449</v>
      </c>
      <c r="AB35" s="52">
        <f t="shared" si="12"/>
        <v>5419.0098072845221</v>
      </c>
      <c r="AC35" s="52">
        <f t="shared" si="12"/>
        <v>5424.4288170918071</v>
      </c>
      <c r="AD35" s="52">
        <f t="shared" si="12"/>
        <v>5429.8532459088974</v>
      </c>
      <c r="AE35" s="52">
        <f t="shared" si="12"/>
        <v>5435.2830991548062</v>
      </c>
      <c r="AF35" s="52">
        <f t="shared" si="12"/>
        <v>5440.71838225396</v>
      </c>
      <c r="AG35" s="52">
        <f t="shared" si="12"/>
        <v>5446.1591006362132</v>
      </c>
      <c r="AH35" s="52">
        <f t="shared" ref="AH35:BI35" si="13">AH34*AH30</f>
        <v>5451.6052597368489</v>
      </c>
      <c r="AI35" s="52">
        <f t="shared" si="13"/>
        <v>5457.0568649965853</v>
      </c>
      <c r="AJ35" s="52">
        <f t="shared" si="13"/>
        <v>5462.5139218615814</v>
      </c>
      <c r="AK35" s="52">
        <f t="shared" si="13"/>
        <v>5467.976435783442</v>
      </c>
      <c r="AL35" s="52">
        <f t="shared" si="13"/>
        <v>5597.8408761332976</v>
      </c>
      <c r="AM35" s="52">
        <f t="shared" si="13"/>
        <v>5603.4387170094305</v>
      </c>
      <c r="AN35" s="52">
        <f t="shared" si="13"/>
        <v>5609.042155726439</v>
      </c>
      <c r="AO35" s="52">
        <f t="shared" si="13"/>
        <v>5614.6511978821654</v>
      </c>
      <c r="AP35" s="52">
        <f t="shared" si="13"/>
        <v>5620.2658490800468</v>
      </c>
      <c r="AQ35" s="52">
        <f t="shared" si="13"/>
        <v>5625.8861149291261</v>
      </c>
      <c r="AR35" s="52">
        <f t="shared" si="13"/>
        <v>5631.5120010440542</v>
      </c>
      <c r="AS35" s="52">
        <f t="shared" si="13"/>
        <v>5637.1435130450973</v>
      </c>
      <c r="AT35" s="52">
        <f t="shared" si="13"/>
        <v>5642.7806565581413</v>
      </c>
      <c r="AU35" s="52">
        <f t="shared" si="13"/>
        <v>5648.4234372146993</v>
      </c>
      <c r="AV35" s="52">
        <f t="shared" si="13"/>
        <v>5654.0718606519131</v>
      </c>
      <c r="AW35" s="52">
        <f t="shared" si="13"/>
        <v>5659.7259325125642</v>
      </c>
      <c r="AX35" s="52">
        <f t="shared" si="13"/>
        <v>5791.2831175216334</v>
      </c>
      <c r="AY35" s="52">
        <f t="shared" si="13"/>
        <v>5797.0744006391551</v>
      </c>
      <c r="AZ35" s="52">
        <f t="shared" si="13"/>
        <v>5802.871475039793</v>
      </c>
      <c r="BA35" s="52">
        <f t="shared" si="13"/>
        <v>5808.6743465148329</v>
      </c>
      <c r="BB35" s="52">
        <f t="shared" si="13"/>
        <v>5814.4830208613466</v>
      </c>
      <c r="BC35" s="52">
        <f t="shared" si="13"/>
        <v>5820.2975038822069</v>
      </c>
      <c r="BD35" s="52">
        <f t="shared" si="13"/>
        <v>5826.117801386089</v>
      </c>
      <c r="BE35" s="52">
        <f t="shared" si="13"/>
        <v>5831.9439191874744</v>
      </c>
      <c r="BF35" s="52">
        <f t="shared" si="13"/>
        <v>5837.7758631066617</v>
      </c>
      <c r="BG35" s="52">
        <f t="shared" si="13"/>
        <v>5843.6136389697676</v>
      </c>
      <c r="BH35" s="52">
        <f t="shared" si="13"/>
        <v>5849.4572526087368</v>
      </c>
      <c r="BI35" s="52">
        <f t="shared" si="13"/>
        <v>5855.3067098613456</v>
      </c>
    </row>
    <row r="39" spans="1:61" x14ac:dyDescent="0.25">
      <c r="A39" s="74" t="s">
        <v>164</v>
      </c>
      <c r="B39" s="74"/>
    </row>
    <row r="40" spans="1:61" x14ac:dyDescent="0.25">
      <c r="A40" s="69" t="s">
        <v>50</v>
      </c>
      <c r="B40" s="70">
        <v>0</v>
      </c>
    </row>
    <row r="41" spans="1:61" x14ac:dyDescent="0.25">
      <c r="A41" s="69" t="s">
        <v>64</v>
      </c>
      <c r="B41" s="70">
        <v>0.01</v>
      </c>
    </row>
    <row r="42" spans="1:61" x14ac:dyDescent="0.25">
      <c r="A42" s="69" t="s">
        <v>65</v>
      </c>
      <c r="B42" s="70">
        <v>0.01</v>
      </c>
    </row>
    <row r="43" spans="1:61" x14ac:dyDescent="0.25">
      <c r="A43" s="69" t="s">
        <v>120</v>
      </c>
      <c r="B43" s="70">
        <v>0.01</v>
      </c>
    </row>
    <row r="44" spans="1:61" x14ac:dyDescent="0.25">
      <c r="A44" s="69" t="s">
        <v>121</v>
      </c>
      <c r="B44" s="70">
        <v>0.01</v>
      </c>
    </row>
  </sheetData>
  <mergeCells count="1">
    <mergeCell ref="A39:B39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C3" sqref="C3"/>
    </sheetView>
  </sheetViews>
  <sheetFormatPr defaultColWidth="8.85546875" defaultRowHeight="15" x14ac:dyDescent="0.25"/>
  <cols>
    <col min="1" max="1" width="7" bestFit="1" customWidth="1"/>
    <col min="2" max="2" width="34.140625" bestFit="1" customWidth="1"/>
    <col min="3" max="3" width="16.42578125" bestFit="1" customWidth="1"/>
    <col min="4" max="4" width="18.7109375" bestFit="1" customWidth="1"/>
    <col min="5" max="5" width="20" bestFit="1" customWidth="1"/>
    <col min="6" max="6" width="15.28515625" bestFit="1" customWidth="1"/>
  </cols>
  <sheetData>
    <row r="1" spans="1:6" x14ac:dyDescent="0.25">
      <c r="C1" s="4" t="s">
        <v>26</v>
      </c>
    </row>
    <row r="2" spans="1:6" x14ac:dyDescent="0.25">
      <c r="B2" s="4" t="s">
        <v>27</v>
      </c>
      <c r="C2" s="3">
        <v>350000</v>
      </c>
    </row>
    <row r="3" spans="1:6" x14ac:dyDescent="0.25">
      <c r="B3" s="4" t="s">
        <v>28</v>
      </c>
      <c r="C3" s="20">
        <v>60</v>
      </c>
    </row>
    <row r="4" spans="1:6" x14ac:dyDescent="0.25">
      <c r="B4" s="4" t="s">
        <v>29</v>
      </c>
      <c r="C4" s="18">
        <v>0.08</v>
      </c>
    </row>
    <row r="5" spans="1:6" x14ac:dyDescent="0.25">
      <c r="B5" s="4" t="s">
        <v>30</v>
      </c>
      <c r="C5" s="20">
        <v>1</v>
      </c>
    </row>
    <row r="7" spans="1:6" x14ac:dyDescent="0.25">
      <c r="B7" s="4" t="s">
        <v>26</v>
      </c>
    </row>
    <row r="8" spans="1:6" x14ac:dyDescent="0.25">
      <c r="A8" s="4" t="s">
        <v>15</v>
      </c>
      <c r="B8" s="4" t="s">
        <v>31</v>
      </c>
      <c r="C8" s="4" t="s">
        <v>32</v>
      </c>
      <c r="D8" s="4" t="s">
        <v>33</v>
      </c>
      <c r="E8" s="4" t="s">
        <v>34</v>
      </c>
      <c r="F8" s="4" t="s">
        <v>35</v>
      </c>
    </row>
    <row r="9" spans="1:6" x14ac:dyDescent="0.25">
      <c r="A9">
        <v>1</v>
      </c>
      <c r="B9">
        <f>IF(C5&lt;=1,1,0)</f>
        <v>1</v>
      </c>
      <c r="C9" s="3">
        <f>IF(AND(B9&gt;0,ISNUMBER(B9)),(-PMT((C4/12),C3,C2)),IF(B9=0,0,0))</f>
        <v>7096.7380009447879</v>
      </c>
      <c r="D9" s="3">
        <f>IF(B9&lt;C3+1,(F9*C4)/12,0)</f>
        <v>2333.3333333333335</v>
      </c>
      <c r="E9" s="3">
        <f>IF(B9&lt;=C3,C9-D9,0)</f>
        <v>4763.404667611454</v>
      </c>
      <c r="F9" s="3">
        <f>IF(AND(B9=1,B9&lt;&gt;0),C2,IF(B9=0,0,IF(AND(B9&gt;1,B9&lt;&gt;0,B9&lt;=C3),F8-E8,0)))</f>
        <v>350000</v>
      </c>
    </row>
    <row r="10" spans="1:6" x14ac:dyDescent="0.25">
      <c r="A10">
        <v>2</v>
      </c>
      <c r="B10">
        <f>IF(A10=C5,1,IF(B9=0,0,IF(B9&lt;C3,(B9+1),0)))</f>
        <v>2</v>
      </c>
      <c r="C10" s="3">
        <f>IF(AND(B10&gt;0,ISNUMBER(B10)),(-PMT((C4/12),C3,C2)),IF(B10=0,0,0))</f>
        <v>7096.7380009447879</v>
      </c>
      <c r="D10" s="3">
        <f>IF(B10&lt;C3+1,(F10*C4)/12,0)</f>
        <v>2301.5773022159237</v>
      </c>
      <c r="E10" s="3">
        <f>IF(B10&lt;=C3,C10-D10,0)</f>
        <v>4795.1606987288642</v>
      </c>
      <c r="F10" s="3">
        <f>IF(AND(B10=1,B10&lt;&gt;0),C2,IF(B10=0,0,IF(AND(B10&gt;1,B10&lt;&gt;0,B10&lt;=C3),F9-E9,0)))</f>
        <v>345236.59533238853</v>
      </c>
    </row>
    <row r="11" spans="1:6" x14ac:dyDescent="0.25">
      <c r="A11">
        <v>3</v>
      </c>
      <c r="B11">
        <f>IF(A11=C5,1,IF(B10=0,0,IF(B10&lt;C3,(B10+1),0)))</f>
        <v>3</v>
      </c>
      <c r="C11" s="3">
        <f>IF(AND(B11&gt;0,ISNUMBER(B11)),(-PMT((C4/12),C3,C2)),IF(B11=0,0,0))</f>
        <v>7096.7380009447879</v>
      </c>
      <c r="D11" s="3">
        <f>IF(B11&lt;C3+1,(F11*C4)/12,0)</f>
        <v>2269.6095642243977</v>
      </c>
      <c r="E11" s="3">
        <f>IF(B11&lt;=C3,C11-D11,0)</f>
        <v>4827.1284367203898</v>
      </c>
      <c r="F11" s="3">
        <f>IF(AND(B11=1,B11&lt;&gt;0),C2,IF(B11=0,0,IF(AND(B11&gt;1,B11&lt;&gt;0,B11&lt;=C3),F10-E10,0)))</f>
        <v>340441.43463365966</v>
      </c>
    </row>
    <row r="12" spans="1:6" x14ac:dyDescent="0.25">
      <c r="A12">
        <v>4</v>
      </c>
      <c r="B12">
        <f>IF(A12=C5,1,IF(B11=0,0,IF(B11&lt;C3,(B11+1),0)))</f>
        <v>4</v>
      </c>
      <c r="C12" s="3">
        <f>IF(AND(B12&gt;0,ISNUMBER(B12)),(-PMT((C4/12),C3,C2)),IF(B12=0,0,0))</f>
        <v>7096.7380009447879</v>
      </c>
      <c r="D12" s="3">
        <f>IF(B12&lt;C3+1,(F12*C4)/12,0)</f>
        <v>2237.4287079795954</v>
      </c>
      <c r="E12" s="3">
        <f>IF(B12&lt;=C3,C12-D12,0)</f>
        <v>4859.3092929651921</v>
      </c>
      <c r="F12" s="3">
        <f>IF(AND(B12=1,B12&lt;&gt;0),C2,IF(B12=0,0,IF(AND(B12&gt;1,B12&lt;&gt;0,B12&lt;=C3),F11-E11,0)))</f>
        <v>335614.30619693926</v>
      </c>
    </row>
    <row r="13" spans="1:6" x14ac:dyDescent="0.25">
      <c r="A13">
        <v>5</v>
      </c>
      <c r="B13">
        <f>IF(A13=C5,1,IF(B12=0,0,IF(B12&lt;C3,(B12+1),0)))</f>
        <v>5</v>
      </c>
      <c r="C13" s="3">
        <f>IF(AND(B13&gt;0,ISNUMBER(B13)),(-PMT((C4/12),C3,C2)),IF(B13=0,0,0))</f>
        <v>7096.7380009447879</v>
      </c>
      <c r="D13" s="3">
        <f>IF(B13&lt;C3+1,(F13*C4)/12,0)</f>
        <v>2205.0333126931605</v>
      </c>
      <c r="E13" s="3">
        <f>IF(B13&lt;=C3,C13-D13,0)</f>
        <v>4891.7046882516279</v>
      </c>
      <c r="F13" s="3">
        <f>IF(AND(B13=1,B13&lt;&gt;0),C2,IF(B13=0,0,IF(AND(B13&gt;1,B13&lt;&gt;0,B13&lt;=C3),F12-E12,0)))</f>
        <v>330754.99690397404</v>
      </c>
    </row>
    <row r="14" spans="1:6" x14ac:dyDescent="0.25">
      <c r="A14">
        <v>6</v>
      </c>
      <c r="B14">
        <f>IF(A14=C5,1,IF(B13=0,0,IF(B13&lt;C3,(B13+1),0)))</f>
        <v>6</v>
      </c>
      <c r="C14" s="3">
        <f>IF(AND(B14&gt;0,ISNUMBER(B14)),(-PMT((C4/12),C3,C2)),IF(B14=0,0,0))</f>
        <v>7096.7380009447879</v>
      </c>
      <c r="D14" s="3">
        <f>IF(B14&lt;C3+1,(F14*C4)/12,0)</f>
        <v>2172.4219481048162</v>
      </c>
      <c r="E14" s="3">
        <f>IF(B14&lt;=C3,C14-D14,0)</f>
        <v>4924.3160528399712</v>
      </c>
      <c r="F14" s="3">
        <f>IF(AND(B14=1,B14&lt;&gt;0),C2,IF(B14=0,0,IF(AND(B14&gt;1,B14&lt;&gt;0,B14&lt;=C3),F13-E13,0)))</f>
        <v>325863.29221572244</v>
      </c>
    </row>
    <row r="15" spans="1:6" x14ac:dyDescent="0.25">
      <c r="A15">
        <v>7</v>
      </c>
      <c r="B15">
        <f>IF(A15=C5,1,IF(B14=0,0,IF(B14&lt;C3,(B14+1),0)))</f>
        <v>7</v>
      </c>
      <c r="C15" s="3">
        <f>IF(AND(B15&gt;0,ISNUMBER(B15)),(-PMT((C4/12),C3,C2)),IF(B15=0,0,0))</f>
        <v>7096.7380009447879</v>
      </c>
      <c r="D15" s="3">
        <f>IF(B15&lt;C3+1,(F15*C4)/12,0)</f>
        <v>2139.5931744192162</v>
      </c>
      <c r="E15" s="3">
        <f>IF(B15&lt;=C3,C15-D15,0)</f>
        <v>4957.1448265255713</v>
      </c>
      <c r="F15" s="3">
        <f>IF(AND(B15=1,B15&lt;&gt;0),C2,IF(B15=0,0,IF(AND(B15&gt;1,B15&lt;&gt;0,B15&lt;=C3),F14-E14,0)))</f>
        <v>320938.97616288246</v>
      </c>
    </row>
    <row r="16" spans="1:6" x14ac:dyDescent="0.25">
      <c r="A16">
        <v>8</v>
      </c>
      <c r="B16">
        <f>IF(A16=C5,1,IF(B15=0,0,IF(B15&lt;C3,(B15+1),0)))</f>
        <v>8</v>
      </c>
      <c r="C16" s="3">
        <f>IF(AND(B16&gt;0,ISNUMBER(B16)),(-PMT((C4/12),C3,C2)),IF(B16=0,0,0))</f>
        <v>7096.7380009447879</v>
      </c>
      <c r="D16" s="3">
        <f>IF(B16&lt;C3+1,(F16*C4)/12,0)</f>
        <v>2106.5455422423793</v>
      </c>
      <c r="E16" s="3">
        <f>IF(B16&lt;=C3,C16-D16,0)</f>
        <v>4990.1924587024087</v>
      </c>
      <c r="F16" s="3">
        <f>IF(AND(B16=1,B16&lt;&gt;0),C2,IF(B16=0,0,IF(AND(B16&gt;1,B16&lt;&gt;0,B16&lt;=C3),F15-E15,0)))</f>
        <v>315981.83133635687</v>
      </c>
    </row>
    <row r="17" spans="1:6" x14ac:dyDescent="0.25">
      <c r="A17">
        <v>9</v>
      </c>
      <c r="B17">
        <f>IF(A17=C5,1,IF(B16=0,0,IF(B16&lt;C3,(B16+1),0)))</f>
        <v>9</v>
      </c>
      <c r="C17" s="3">
        <f>IF(AND(B17&gt;0,ISNUMBER(B17)),(-PMT((C4/12),C3,C2)),IF(B17=0,0,0))</f>
        <v>7096.7380009447879</v>
      </c>
      <c r="D17" s="3">
        <f>IF(B17&lt;C3+1,(F17*C4)/12,0)</f>
        <v>2073.2775925176961</v>
      </c>
      <c r="E17" s="3">
        <f>IF(B17&lt;=C3,C17-D17,0)</f>
        <v>5023.4604084270923</v>
      </c>
      <c r="F17" s="3">
        <f>IF(AND(B17=1,B17&lt;&gt;0),C2,IF(B17=0,0,IF(AND(B17&gt;1,B17&lt;&gt;0,B17&lt;=C3),F16-E16,0)))</f>
        <v>310991.63887765445</v>
      </c>
    </row>
    <row r="18" spans="1:6" x14ac:dyDescent="0.25">
      <c r="A18">
        <v>10</v>
      </c>
      <c r="B18">
        <f>IF(A18=C5,1,IF(B17=0,0,IF(B17&lt;C3,(B17+1),0)))</f>
        <v>10</v>
      </c>
      <c r="C18" s="3">
        <f>IF(AND(B18&gt;0,ISNUMBER(B18)),(-PMT((C4/12),C3,C2)),IF(B18=0,0,0))</f>
        <v>7096.7380009447879</v>
      </c>
      <c r="D18" s="3">
        <f>IF(B18&lt;C3+1,(F18*C4)/12,0)</f>
        <v>2039.7878564615157</v>
      </c>
      <c r="E18" s="3">
        <f>IF(B18&lt;=C3,C18-D18,0)</f>
        <v>5056.9501444832722</v>
      </c>
      <c r="F18" s="3">
        <f>IF(AND(B18=1,B18&lt;&gt;0),C2,IF(B18=0,0,IF(AND(B18&gt;1,B18&lt;&gt;0,B18&lt;=C3),F17-E17,0)))</f>
        <v>305968.17846922734</v>
      </c>
    </row>
    <row r="19" spans="1:6" x14ac:dyDescent="0.25">
      <c r="A19">
        <v>11</v>
      </c>
      <c r="B19">
        <f>IF(A19=C5,1,IF(B18=0,0,IF(B18&lt;C3,(B18+1),0)))</f>
        <v>11</v>
      </c>
      <c r="C19" s="3">
        <f>IF(AND(B19&gt;0,ISNUMBER(B19)),(-PMT((C4/12),C3,C2)),IF(B19=0,0,0))</f>
        <v>7096.7380009447879</v>
      </c>
      <c r="D19" s="3">
        <f>IF(B19&lt;C3+1,(F19*C4)/12,0)</f>
        <v>2006.0748554982936</v>
      </c>
      <c r="E19" s="3">
        <f>IF(B19&lt;=C3,C19-D19,0)</f>
        <v>5090.6631454464941</v>
      </c>
      <c r="F19" s="3">
        <f>IF(AND(B19=1,B19&lt;&gt;0),C2,IF(B19=0,0,IF(AND(B19&gt;1,B19&lt;&gt;0,B19&lt;=C3),F18-E18,0)))</f>
        <v>300911.22832474404</v>
      </c>
    </row>
    <row r="20" spans="1:6" x14ac:dyDescent="0.25">
      <c r="A20">
        <v>12</v>
      </c>
      <c r="B20">
        <f>IF(A20=C5,1,IF(B19=0,0,IF(B19&lt;C3,(B19+1),0)))</f>
        <v>12</v>
      </c>
      <c r="C20" s="3">
        <f>IF(AND(B20&gt;0,ISNUMBER(B20)),(-PMT((C4/12),C3,C2)),IF(B20=0,0,0))</f>
        <v>7096.7380009447879</v>
      </c>
      <c r="D20" s="3">
        <f>IF(B20&lt;C3+1,(F20*C4)/12,0)</f>
        <v>1972.137101195317</v>
      </c>
      <c r="E20" s="3">
        <f>IF(B20&lt;=C3,C20-D20,0)</f>
        <v>5124.600899749471</v>
      </c>
      <c r="F20" s="3">
        <f>IF(AND(B20=1,B20&lt;&gt;0),C2,IF(B20=0,0,IF(AND(B20&gt;1,B20&lt;&gt;0,B20&lt;=C3),F19-E19,0)))</f>
        <v>295820.56517929753</v>
      </c>
    </row>
    <row r="21" spans="1:6" x14ac:dyDescent="0.25">
      <c r="A21">
        <v>13</v>
      </c>
      <c r="B21">
        <f>IF(A21=C5,1,IF(B20=0,0,IF(B20&lt;C3,(B20+1),0)))</f>
        <v>13</v>
      </c>
      <c r="C21" s="3">
        <f>IF(AND(B21&gt;0,ISNUMBER(B21)),(-PMT((C4/12),C3,C2)),IF(B21=0,0,0))</f>
        <v>7096.7380009447879</v>
      </c>
      <c r="D21" s="3">
        <f>IF(B21&lt;C3+1,(F21*C4)/12,0)</f>
        <v>1937.9730951969868</v>
      </c>
      <c r="E21" s="3">
        <f>IF(B21&lt;=C3,C21-D21,0)</f>
        <v>5158.7649057478011</v>
      </c>
      <c r="F21" s="3">
        <f>IF(AND(B21=1,B21&lt;&gt;0),C2,IF(B21=0,0,IF(AND(B21&gt;1,B21&lt;&gt;0,B21&lt;=C3),F20-E20,0)))</f>
        <v>290695.96427954803</v>
      </c>
    </row>
    <row r="22" spans="1:6" x14ac:dyDescent="0.25">
      <c r="A22">
        <v>14</v>
      </c>
      <c r="B22">
        <f>IF(A22=C5,1,IF(B21=0,0,IF(B21&lt;C3,(B21+1),0)))</f>
        <v>14</v>
      </c>
      <c r="C22" s="3">
        <f>IF(AND(B22&gt;0,ISNUMBER(B22)),(-PMT((C4/12),C3,C2)),IF(B22=0,0,0))</f>
        <v>7096.7380009447879</v>
      </c>
      <c r="D22" s="3">
        <f>IF(B22&lt;C3+1,(F22*C4)/12,0)</f>
        <v>1903.5813291586683</v>
      </c>
      <c r="E22" s="3">
        <f>IF(B22&lt;=C3,C22-D22,0)</f>
        <v>5193.1566717861197</v>
      </c>
      <c r="F22" s="3">
        <f>IF(AND(B22=1,B22&lt;&gt;0),C2,IF(B22=0,0,IF(AND(B22&gt;1,B22&lt;&gt;0,B22&lt;=C3),F21-E21,0)))</f>
        <v>285537.19937380025</v>
      </c>
    </row>
    <row r="23" spans="1:6" x14ac:dyDescent="0.25">
      <c r="A23">
        <v>15</v>
      </c>
      <c r="B23">
        <f>IF(A23=C5,1,IF(B22=0,0,IF(B22&lt;C3,(B22+1),0)))</f>
        <v>15</v>
      </c>
      <c r="C23" s="3">
        <f>IF(AND(B23&gt;0,ISNUMBER(B23)),(-PMT((C4/12),C3,C2)),IF(B23=0,0,0))</f>
        <v>7096.7380009447879</v>
      </c>
      <c r="D23" s="3">
        <f>IF(B23&lt;C3+1,(F23*C4)/12,0)</f>
        <v>1868.9602846800944</v>
      </c>
      <c r="E23" s="3">
        <f>IF(B23&lt;=C3,C23-D23,0)</f>
        <v>5227.7777162646935</v>
      </c>
      <c r="F23" s="3">
        <f>IF(AND(B23=1,B23&lt;&gt;0),C2,IF(B23=0,0,IF(AND(B23&gt;1,B23&lt;&gt;0,B23&lt;=C3),F22-E22,0)))</f>
        <v>280344.04270201415</v>
      </c>
    </row>
    <row r="24" spans="1:6" x14ac:dyDescent="0.25">
      <c r="A24">
        <v>16</v>
      </c>
      <c r="B24">
        <f>IF(A24=C5,1,IF(B23=0,0,IF(B23&lt;C3,(B23+1),0)))</f>
        <v>16</v>
      </c>
      <c r="C24" s="3">
        <f>IF(AND(B24&gt;0,ISNUMBER(B24)),(-PMT((C4/12),C3,C2)),IF(B24=0,0,0))</f>
        <v>7096.7380009447879</v>
      </c>
      <c r="D24" s="3">
        <f>IF(B24&lt;C3+1,(F24*C4)/12,0)</f>
        <v>1834.1084332383298</v>
      </c>
      <c r="E24" s="3">
        <f>IF(B24&lt;=C3,C24-D24,0)</f>
        <v>5262.6295677064581</v>
      </c>
      <c r="F24" s="3">
        <f>IF(AND(B24=1,B24&lt;&gt;0),C2,IF(B24=0,0,IF(AND(B24&gt;1,B24&lt;&gt;0,B24&lt;=C3),F23-E23,0)))</f>
        <v>275116.26498574944</v>
      </c>
    </row>
    <row r="25" spans="1:6" x14ac:dyDescent="0.25">
      <c r="A25">
        <v>17</v>
      </c>
      <c r="B25">
        <f>IF(A25=C5,1,IF(B24=0,0,IF(B24&lt;C3,(B24+1),0)))</f>
        <v>17</v>
      </c>
      <c r="C25" s="3">
        <f>IF(AND(B25&gt;0,ISNUMBER(B25)),(-PMT((C4/12),C3,C2)),IF(B25=0,0,0))</f>
        <v>7096.7380009447879</v>
      </c>
      <c r="D25" s="3">
        <f>IF(B25&lt;C3+1,(F25*C4)/12,0)</f>
        <v>1799.0242361202866</v>
      </c>
      <c r="E25" s="3">
        <f>IF(B25&lt;=C3,C25-D25,0)</f>
        <v>5297.7137648245016</v>
      </c>
      <c r="F25" s="3">
        <f>IF(AND(B25=1,B25&lt;&gt;0),C2,IF(B25=0,0,IF(AND(B25&gt;1,B25&lt;&gt;0,B25&lt;=C3),F24-E24,0)))</f>
        <v>269853.63541804301</v>
      </c>
    </row>
    <row r="26" spans="1:6" x14ac:dyDescent="0.25">
      <c r="A26">
        <v>18</v>
      </c>
      <c r="B26">
        <f>IF(A26=C5,1,IF(B25=0,0,IF(B25&lt;C3,(B25+1),0)))</f>
        <v>18</v>
      </c>
      <c r="C26" s="3">
        <f>IF(AND(B26&gt;0,ISNUMBER(B26)),(-PMT((C4/12),C3,C2)),IF(B26=0,0,0))</f>
        <v>7096.7380009447879</v>
      </c>
      <c r="D26" s="3">
        <f>IF(B26&lt;C3+1,(F26*C4)/12,0)</f>
        <v>1763.70614435479</v>
      </c>
      <c r="E26" s="3">
        <f>IF(B26&lt;=C3,C26-D26,0)</f>
        <v>5333.0318565899979</v>
      </c>
      <c r="F26" s="3">
        <f>IF(AND(B26=1,B26&lt;&gt;0),C2,IF(B26=0,0,IF(AND(B26&gt;1,B26&lt;&gt;0,B26&lt;=C3),F25-E25,0)))</f>
        <v>264555.92165321851</v>
      </c>
    </row>
    <row r="27" spans="1:6" x14ac:dyDescent="0.25">
      <c r="A27">
        <v>19</v>
      </c>
      <c r="B27">
        <f>IF(A27=C5,1,IF(B26=0,0,IF(B26&lt;C3,(B26+1),0)))</f>
        <v>19</v>
      </c>
      <c r="C27" s="3">
        <f>IF(AND(B27&gt;0,ISNUMBER(B27)),(-PMT((C4/12),C3,C2)),IF(B27=0,0,0))</f>
        <v>7096.7380009447879</v>
      </c>
      <c r="D27" s="3">
        <f>IF(B27&lt;C3+1,(F27*C4)/12,0)</f>
        <v>1728.15259864419</v>
      </c>
      <c r="E27" s="3">
        <f>IF(B27&lt;=C3,C27-D27,0)</f>
        <v>5368.5854023005977</v>
      </c>
      <c r="F27" s="3">
        <f>IF(AND(B27=1,B27&lt;&gt;0),C2,IF(B27=0,0,IF(AND(B27&gt;1,B27&lt;&gt;0,B27&lt;=C3),F26-E26,0)))</f>
        <v>259222.8897966285</v>
      </c>
    </row>
    <row r="28" spans="1:6" x14ac:dyDescent="0.25">
      <c r="A28">
        <v>20</v>
      </c>
      <c r="B28">
        <f>IF(A28=C5,1,IF(B27=0,0,IF(B27&lt;C3,(B27+1),0)))</f>
        <v>20</v>
      </c>
      <c r="C28" s="3">
        <f>IF(AND(B28&gt;0,ISNUMBER(B28)),(-PMT((C4/12),C3,C2)),IF(B28=0,0,0))</f>
        <v>7096.7380009447879</v>
      </c>
      <c r="D28" s="3">
        <f>IF(B28&lt;C3+1,(F28*C4)/12,0)</f>
        <v>1692.3620292955193</v>
      </c>
      <c r="E28" s="3">
        <f>IF(B28&lt;=C3,C28-D28,0)</f>
        <v>5404.3759716492686</v>
      </c>
      <c r="F28" s="3">
        <f>IF(AND(B28=1,B28&lt;&gt;0),C2,IF(B28=0,0,IF(AND(B28&gt;1,B28&lt;&gt;0,B28&lt;=C3),F27-E27,0)))</f>
        <v>253854.30439432789</v>
      </c>
    </row>
    <row r="29" spans="1:6" x14ac:dyDescent="0.25">
      <c r="A29">
        <v>21</v>
      </c>
      <c r="B29">
        <f>IF(A29=C5,1,IF(B28=0,0,IF(B28&lt;C3,(B28+1),0)))</f>
        <v>21</v>
      </c>
      <c r="C29" s="3">
        <f>IF(AND(B29&gt;0,ISNUMBER(B29)),(-PMT((C4/12),C3,C2)),IF(B29=0,0,0))</f>
        <v>7096.7380009447879</v>
      </c>
      <c r="D29" s="3">
        <f>IF(B29&lt;C3+1,(F29*C4)/12,0)</f>
        <v>1656.3328561511908</v>
      </c>
      <c r="E29" s="3">
        <f>IF(B29&lt;=C3,C29-D29,0)</f>
        <v>5440.4051447935972</v>
      </c>
      <c r="F29" s="3">
        <f>IF(AND(B29=1,B29&lt;&gt;0),C2,IF(B29=0,0,IF(AND(B29&gt;1,B29&lt;&gt;0,B29&lt;=C3),F28-E28,0)))</f>
        <v>248449.92842267861</v>
      </c>
    </row>
    <row r="30" spans="1:6" x14ac:dyDescent="0.25">
      <c r="A30">
        <v>22</v>
      </c>
      <c r="B30">
        <f>IF(A30=C5,1,IF(B29=0,0,IF(B29&lt;C3,(B29+1),0)))</f>
        <v>22</v>
      </c>
      <c r="C30" s="3">
        <f>IF(AND(B30&gt;0,ISNUMBER(B30)),(-PMT((C4/12),C3,C2)),IF(B30=0,0,0))</f>
        <v>7096.7380009447879</v>
      </c>
      <c r="D30" s="3">
        <f>IF(B30&lt;C3+1,(F30*C4)/12,0)</f>
        <v>1620.0634885192337</v>
      </c>
      <c r="E30" s="3">
        <f>IF(B30&lt;=C3,C30-D30,0)</f>
        <v>5476.674512425554</v>
      </c>
      <c r="F30" s="3">
        <f>IF(AND(B30=1,B30&lt;&gt;0),C2,IF(B30=0,0,IF(AND(B30&gt;1,B30&lt;&gt;0,B30&lt;=C3),F29-E29,0)))</f>
        <v>243009.52327788502</v>
      </c>
    </row>
    <row r="31" spans="1:6" x14ac:dyDescent="0.25">
      <c r="A31">
        <v>23</v>
      </c>
      <c r="B31">
        <f>IF(A31=C5,1,IF(B30=0,0,IF(B30&lt;C3,(B30+1),0)))</f>
        <v>23</v>
      </c>
      <c r="C31" s="3">
        <f>IF(AND(B31&gt;0,ISNUMBER(B31)),(-PMT((C4/12),C3,C2)),IF(B31=0,0,0))</f>
        <v>7096.7380009447879</v>
      </c>
      <c r="D31" s="3">
        <f>IF(B31&lt;C3+1,(F31*C4)/12,0)</f>
        <v>1583.5523251030629</v>
      </c>
      <c r="E31" s="3">
        <f>IF(B31&lt;=C3,C31-D31,0)</f>
        <v>5513.1856758417252</v>
      </c>
      <c r="F31" s="3">
        <f>IF(AND(B31=1,B31&lt;&gt;0),C2,IF(B31=0,0,IF(AND(B31&gt;1,B31&lt;&gt;0,B31&lt;=C3),F30-E30,0)))</f>
        <v>237532.84876545946</v>
      </c>
    </row>
    <row r="32" spans="1:6" x14ac:dyDescent="0.25">
      <c r="A32">
        <v>24</v>
      </c>
      <c r="B32">
        <f>IF(A32=C5,1,IF(B31=0,0,IF(B31&lt;C3,(B31+1),0)))</f>
        <v>24</v>
      </c>
      <c r="C32" s="3">
        <f>IF(AND(B32&gt;0,ISNUMBER(B32)),(-PMT((C4/12),C3,C2)),IF(B32=0,0,0))</f>
        <v>7096.7380009447879</v>
      </c>
      <c r="D32" s="3">
        <f>IF(B32&lt;C3+1,(F32*C4)/12,0)</f>
        <v>1546.7977539307849</v>
      </c>
      <c r="E32" s="3">
        <f>IF(B32&lt;=C3,C32-D32,0)</f>
        <v>5549.940247014003</v>
      </c>
      <c r="F32" s="3">
        <f>IF(AND(B32=1,B32&lt;&gt;0),C2,IF(B32=0,0,IF(AND(B32&gt;1,B32&lt;&gt;0,B32&lt;=C3),F31-E31,0)))</f>
        <v>232019.66308961774</v>
      </c>
    </row>
    <row r="33" spans="1:6" x14ac:dyDescent="0.25">
      <c r="A33">
        <v>25</v>
      </c>
      <c r="B33">
        <f>IF(A33=C5,1,IF(B32=0,0,IF(B32&lt;C3,(B32+1),0)))</f>
        <v>25</v>
      </c>
      <c r="C33" s="3">
        <f>IF(AND(B33&gt;0,ISNUMBER(B33)),(-PMT((C4/12),C3,C2)),IF(B33=0,0,0))</f>
        <v>7096.7380009447879</v>
      </c>
      <c r="D33" s="3">
        <f>IF(B33&lt;C3+1,(F33*C4)/12,0)</f>
        <v>1509.7981522840248</v>
      </c>
      <c r="E33" s="3">
        <f>IF(B33&lt;=C3,C33-D33,0)</f>
        <v>5586.9398486607633</v>
      </c>
      <c r="F33" s="3">
        <f>IF(AND(B33=1,B33&lt;&gt;0),C2,IF(B33=0,0,IF(AND(B33&gt;1,B33&lt;&gt;0,B33&lt;=C3),F32-E32,0)))</f>
        <v>226469.72284260375</v>
      </c>
    </row>
    <row r="34" spans="1:6" x14ac:dyDescent="0.25">
      <c r="A34">
        <v>26</v>
      </c>
      <c r="B34">
        <f>IF(A34=C5,1,IF(B33=0,0,IF(B33&lt;C3,(B33+1),0)))</f>
        <v>26</v>
      </c>
      <c r="C34" s="3">
        <f>IF(AND(B34&gt;0,ISNUMBER(B34)),(-PMT((C4/12),C3,C2)),IF(B34=0,0,0))</f>
        <v>7096.7380009447879</v>
      </c>
      <c r="D34" s="3">
        <f>IF(B34&lt;C3+1,(F34*C4)/12,0)</f>
        <v>1472.5518866262867</v>
      </c>
      <c r="E34" s="3">
        <f>IF(B34&lt;=C3,C34-D34,0)</f>
        <v>5624.1861143185015</v>
      </c>
      <c r="F34" s="3">
        <f>IF(AND(B34=1,B34&lt;&gt;0),C2,IF(B34=0,0,IF(AND(B34&gt;1,B34&lt;&gt;0,B34&lt;=C3),F33-E33,0)))</f>
        <v>220882.78299394299</v>
      </c>
    </row>
    <row r="35" spans="1:6" x14ac:dyDescent="0.25">
      <c r="A35">
        <v>27</v>
      </c>
      <c r="B35">
        <f>IF(A35=C5,1,IF(B34=0,0,IF(B34&lt;C3,(B34+1),0)))</f>
        <v>27</v>
      </c>
      <c r="C35" s="3">
        <f>IF(AND(B35&gt;0,ISNUMBER(B35)),(-PMT((C4/12),C3,C2)),IF(B35=0,0,0))</f>
        <v>7096.7380009447879</v>
      </c>
      <c r="D35" s="3">
        <f>IF(B35&lt;C3+1,(F35*C4)/12,0)</f>
        <v>1435.0573125308301</v>
      </c>
      <c r="E35" s="3">
        <f>IF(B35&lt;=C3,C35-D35,0)</f>
        <v>5661.6806884139578</v>
      </c>
      <c r="F35" s="3">
        <f>IF(AND(B35=1,B35&lt;&gt;0),C2,IF(B35=0,0,IF(AND(B35&gt;1,B35&lt;&gt;0,B35&lt;=C3),F34-E34,0)))</f>
        <v>215258.5968796245</v>
      </c>
    </row>
    <row r="36" spans="1:6" x14ac:dyDescent="0.25">
      <c r="A36">
        <v>28</v>
      </c>
      <c r="B36">
        <f>IF(A36=C5,1,IF(B35=0,0,IF(B35&lt;C3,(B35+1),0)))</f>
        <v>28</v>
      </c>
      <c r="C36" s="3">
        <f>IF(AND(B36&gt;0,ISNUMBER(B36)),(-PMT((C4/12),C3,C2)),IF(B36=0,0,0))</f>
        <v>7096.7380009447879</v>
      </c>
      <c r="D36" s="3">
        <f>IF(B36&lt;C3+1,(F36*C4)/12,0)</f>
        <v>1397.3127746080702</v>
      </c>
      <c r="E36" s="3">
        <f>IF(B36&lt;=C3,C36-D36,0)</f>
        <v>5699.425226336718</v>
      </c>
      <c r="F36" s="3">
        <f>IF(AND(B36=1,B36&lt;&gt;0),C2,IF(B36=0,0,IF(AND(B36&gt;1,B36&lt;&gt;0,B36&lt;=C3),F35-E35,0)))</f>
        <v>209596.91619121053</v>
      </c>
    </row>
    <row r="37" spans="1:6" x14ac:dyDescent="0.25">
      <c r="A37">
        <v>29</v>
      </c>
      <c r="B37">
        <f>IF(A37=C5,1,IF(B36=0,0,IF(B36&lt;C3,(B36+1),0)))</f>
        <v>29</v>
      </c>
      <c r="C37" s="3">
        <f>IF(AND(B37&gt;0,ISNUMBER(B37)),(-PMT((C4/12),C3,C2)),IF(B37=0,0,0))</f>
        <v>7096.7380009447879</v>
      </c>
      <c r="D37" s="3">
        <f>IF(B37&lt;C3+1,(F37*C4)/12,0)</f>
        <v>1359.3166064324921</v>
      </c>
      <c r="E37" s="3">
        <f>IF(B37&lt;=C3,C37-D37,0)</f>
        <v>5737.4213945122956</v>
      </c>
      <c r="F37" s="3">
        <f>IF(AND(B37=1,B37&lt;&gt;0),C2,IF(B37=0,0,IF(AND(B37&gt;1,B37&lt;&gt;0,B37&lt;=C3),F36-E36,0)))</f>
        <v>203897.49096487381</v>
      </c>
    </row>
    <row r="38" spans="1:6" x14ac:dyDescent="0.25">
      <c r="A38">
        <v>30</v>
      </c>
      <c r="B38">
        <f>IF(A38=C5,1,IF(B37=0,0,IF(B37&lt;C3,(B37+1),0)))</f>
        <v>30</v>
      </c>
      <c r="C38" s="3">
        <f>IF(AND(B38&gt;0,ISNUMBER(B38)),(-PMT((C4/12),C3,C2)),IF(B38=0,0,0))</f>
        <v>7096.7380009447879</v>
      </c>
      <c r="D38" s="3">
        <f>IF(B38&lt;C3+1,(F38*C4)/12,0)</f>
        <v>1321.0671304690768</v>
      </c>
      <c r="E38" s="3">
        <f>IF(B38&lt;=C3,C38-D38,0)</f>
        <v>5775.6708704757111</v>
      </c>
      <c r="F38" s="3">
        <f>IF(AND(B38=1,B38&lt;&gt;0),C2,IF(B38=0,0,IF(AND(B38&gt;1,B38&lt;&gt;0,B38&lt;=C3),F37-E37,0)))</f>
        <v>198160.06957036152</v>
      </c>
    </row>
    <row r="39" spans="1:6" x14ac:dyDescent="0.25">
      <c r="A39">
        <v>31</v>
      </c>
      <c r="B39">
        <f>IF(A39=C5,1,IF(B38=0,0,IF(B38&lt;C3,(B38+1),0)))</f>
        <v>31</v>
      </c>
      <c r="C39" s="3">
        <f>IF(AND(B39&gt;0,ISNUMBER(B39)),(-PMT((C4/12),C3,C2)),IF(B39=0,0,0))</f>
        <v>7096.7380009447879</v>
      </c>
      <c r="D39" s="3">
        <f>IF(B39&lt;C3+1,(F39*C4)/12,0)</f>
        <v>1282.5626579992388</v>
      </c>
      <c r="E39" s="3">
        <f>IF(B39&lt;=C3,C39-D39,0)</f>
        <v>5814.1753429455493</v>
      </c>
      <c r="F39" s="3">
        <f>IF(AND(B39=1,B39&lt;&gt;0),C2,IF(B39=0,0,IF(AND(B39&gt;1,B39&lt;&gt;0,B39&lt;=C3),F38-E38,0)))</f>
        <v>192384.39869988582</v>
      </c>
    </row>
    <row r="40" spans="1:6" x14ac:dyDescent="0.25">
      <c r="A40">
        <v>32</v>
      </c>
      <c r="B40">
        <f>IF(A40=C5,1,IF(B39=0,0,IF(B39&lt;C3,(B39+1),0)))</f>
        <v>32</v>
      </c>
      <c r="C40" s="3">
        <f>IF(AND(B40&gt;0,ISNUMBER(B40)),(-PMT((C4/12),C3,C2)),IF(B40=0,0,0))</f>
        <v>7096.7380009447879</v>
      </c>
      <c r="D40" s="3">
        <f>IF(B40&lt;C3+1,(F40*C4)/12,0)</f>
        <v>1243.8014890462684</v>
      </c>
      <c r="E40" s="3">
        <f>IF(B40&lt;=C3,C40-D40,0)</f>
        <v>5852.9365118985197</v>
      </c>
      <c r="F40" s="3">
        <f>IF(AND(B40=1,B40&lt;&gt;0),C2,IF(B40=0,0,IF(AND(B40&gt;1,B40&lt;&gt;0,B40&lt;=C3),F39-E39,0)))</f>
        <v>186570.22335694026</v>
      </c>
    </row>
    <row r="41" spans="1:6" x14ac:dyDescent="0.25">
      <c r="A41">
        <v>33</v>
      </c>
      <c r="B41">
        <f>IF(A41=C5,1,IF(B40=0,0,IF(B40&lt;C3,(B40+1),0)))</f>
        <v>33</v>
      </c>
      <c r="C41" s="3">
        <f>IF(AND(B41&gt;0,ISNUMBER(B41)),(-PMT((C4/12),C3,C2)),IF(B41=0,0,0))</f>
        <v>7096.7380009447879</v>
      </c>
      <c r="D41" s="3">
        <f>IF(B41&lt;C3+1,(F41*C4)/12,0)</f>
        <v>1204.7819123002782</v>
      </c>
      <c r="E41" s="3">
        <f>IF(B41&lt;=C3,C41-D41,0)</f>
        <v>5891.9560886445097</v>
      </c>
      <c r="F41" s="3">
        <f>IF(AND(B41=1,B41&lt;&gt;0),C2,IF(B41=0,0,IF(AND(B41&gt;1,B41&lt;&gt;0,B41&lt;=C3),F40-E40,0)))</f>
        <v>180717.28684504173</v>
      </c>
    </row>
    <row r="42" spans="1:6" x14ac:dyDescent="0.25">
      <c r="A42">
        <v>34</v>
      </c>
      <c r="B42">
        <f>IF(A42=C5,1,IF(B41=0,0,IF(B41&lt;C3,(B41+1),0)))</f>
        <v>34</v>
      </c>
      <c r="C42" s="3">
        <f>IF(AND(B42&gt;0,ISNUMBER(B42)),(-PMT((C4/12),C3,C2)),IF(B42=0,0,0))</f>
        <v>7096.7380009447879</v>
      </c>
      <c r="D42" s="3">
        <f>IF(B42&lt;C3+1,(F42*C4)/12,0)</f>
        <v>1165.502205042648</v>
      </c>
      <c r="E42" s="3">
        <f>IF(B42&lt;=C3,C42-D42,0)</f>
        <v>5931.2357959021401</v>
      </c>
      <c r="F42" s="3">
        <f>IF(AND(B42=1,B42&lt;&gt;0),C2,IF(B42=0,0,IF(AND(B42&gt;1,B42&lt;&gt;0,B42&lt;=C3),F41-E41,0)))</f>
        <v>174825.33075639722</v>
      </c>
    </row>
    <row r="43" spans="1:6" x14ac:dyDescent="0.25">
      <c r="A43">
        <v>35</v>
      </c>
      <c r="B43">
        <f>IF(A43=C5,1,IF(B42=0,0,IF(B42&lt;C3,(B42+1),0)))</f>
        <v>35</v>
      </c>
      <c r="C43" s="3">
        <f>IF(AND(B43&gt;0,ISNUMBER(B43)),(-PMT((C4/12),C3,C2)),IF(B43=0,0,0))</f>
        <v>7096.7380009447879</v>
      </c>
      <c r="D43" s="3">
        <f>IF(B43&lt;C3+1,(F43*C4)/12,0)</f>
        <v>1125.9606330699671</v>
      </c>
      <c r="E43" s="3">
        <f>IF(B43&lt;=C3,C43-D43,0)</f>
        <v>5970.7773678748208</v>
      </c>
      <c r="F43" s="3">
        <f>IF(AND(B43=1,B43&lt;&gt;0),C2,IF(B43=0,0,IF(AND(B43&gt;1,B43&lt;&gt;0,B43&lt;=C3),F42-E42,0)))</f>
        <v>168894.09496049507</v>
      </c>
    </row>
    <row r="44" spans="1:6" x14ac:dyDescent="0.25">
      <c r="A44">
        <v>36</v>
      </c>
      <c r="B44">
        <f>IF(A44=C5,1,IF(B43=0,0,IF(B43&lt;C3,(B43+1),0)))</f>
        <v>36</v>
      </c>
      <c r="C44" s="3">
        <f>IF(AND(B44&gt;0,ISNUMBER(B44)),(-PMT((C4/12),C3,C2)),IF(B44=0,0,0))</f>
        <v>7096.7380009447879</v>
      </c>
      <c r="D44" s="3">
        <f>IF(B44&lt;C3+1,(F44*C4)/12,0)</f>
        <v>1086.1554506174682</v>
      </c>
      <c r="E44" s="3">
        <f>IF(B44&lt;=C3,C44-D44,0)</f>
        <v>6010.58255032732</v>
      </c>
      <c r="F44" s="3">
        <f>IF(AND(B44=1,B44&lt;&gt;0),C2,IF(B44=0,0,IF(AND(B44&gt;1,B44&lt;&gt;0,B44&lt;=C3),F43-E43,0)))</f>
        <v>162923.31759262024</v>
      </c>
    </row>
    <row r="45" spans="1:6" x14ac:dyDescent="0.25">
      <c r="A45">
        <v>37</v>
      </c>
      <c r="B45">
        <f>IF(A45=$C$5,1,IF(B44=0,0,IF(B44&lt;$C$3,(B44+1),0)))</f>
        <v>37</v>
      </c>
      <c r="C45" s="3">
        <f>IF(AND(B45&gt;0,ISNUMBER(B45)),(-PMT(($C$4/12),$C$3,$C$2)),IF(B45=0,0,0))</f>
        <v>7096.7380009447879</v>
      </c>
      <c r="D45" s="3">
        <f>IF(B45&lt;$C$3+1,(F45*$C$4)/12,0)</f>
        <v>1046.0849002819527</v>
      </c>
      <c r="E45" s="3">
        <f>IF(B45&lt;=$C$3,C45-D45,0)</f>
        <v>6050.6531006628356</v>
      </c>
      <c r="F45" s="3">
        <f>IF(AND(B45=1,B45&lt;&gt;0),$C$2,IF(B45=0,0,IF(AND(B45&gt;1,B45&lt;&gt;0,B45&lt;=$C$3),F44-E44,0)))</f>
        <v>156912.73504229292</v>
      </c>
    </row>
    <row r="46" spans="1:6" x14ac:dyDescent="0.25">
      <c r="A46">
        <v>38</v>
      </c>
      <c r="B46">
        <f t="shared" ref="B46:B69" si="0">IF(A46=$C$5,1,IF(B45=0,0,IF(B45&lt;$C$3,(B45+1),0)))</f>
        <v>38</v>
      </c>
      <c r="C46" s="3">
        <f t="shared" ref="C46:C69" si="1">IF(AND(B46&gt;0,ISNUMBER(B46)),(-PMT(($C$4/12),$C$3,$C$2)),IF(B46=0,0,0))</f>
        <v>7096.7380009447879</v>
      </c>
      <c r="D46" s="3">
        <f t="shared" ref="D46:D69" si="2">IF(B46&lt;$C$3+1,(F46*$C$4)/12,0)</f>
        <v>1005.7472129442004</v>
      </c>
      <c r="E46" s="3">
        <f t="shared" ref="E46:E69" si="3">IF(B46&lt;=$C$3,C46-D46,0)</f>
        <v>6090.9907880005876</v>
      </c>
      <c r="F46" s="3">
        <f t="shared" ref="F46:F69" si="4">IF(AND(B46=1,B46&lt;&gt;0),$C$2,IF(B46=0,0,IF(AND(B46&gt;1,B46&lt;&gt;0,B46&lt;=$C$3),F45-E45,0)))</f>
        <v>150862.08194163008</v>
      </c>
    </row>
    <row r="47" spans="1:6" x14ac:dyDescent="0.25">
      <c r="A47">
        <v>39</v>
      </c>
      <c r="B47">
        <f t="shared" si="0"/>
        <v>39</v>
      </c>
      <c r="C47" s="3">
        <f t="shared" si="1"/>
        <v>7096.7380009447879</v>
      </c>
      <c r="D47" s="3">
        <f t="shared" si="2"/>
        <v>965.14060769086336</v>
      </c>
      <c r="E47" s="3">
        <f t="shared" si="3"/>
        <v>6131.5973932539246</v>
      </c>
      <c r="F47" s="3">
        <f t="shared" si="4"/>
        <v>144771.0911536295</v>
      </c>
    </row>
    <row r="48" spans="1:6" x14ac:dyDescent="0.25">
      <c r="A48">
        <v>40</v>
      </c>
      <c r="B48">
        <f t="shared" si="0"/>
        <v>40</v>
      </c>
      <c r="C48" s="3">
        <f t="shared" si="1"/>
        <v>7096.7380009447879</v>
      </c>
      <c r="D48" s="3">
        <f t="shared" si="2"/>
        <v>924.26329173583724</v>
      </c>
      <c r="E48" s="3">
        <f t="shared" si="3"/>
        <v>6172.474709208951</v>
      </c>
      <c r="F48" s="3">
        <f t="shared" si="4"/>
        <v>138639.49376037557</v>
      </c>
    </row>
    <row r="49" spans="1:6" x14ac:dyDescent="0.25">
      <c r="A49">
        <v>41</v>
      </c>
      <c r="B49">
        <f t="shared" si="0"/>
        <v>41</v>
      </c>
      <c r="C49" s="3">
        <f t="shared" si="1"/>
        <v>7096.7380009447879</v>
      </c>
      <c r="D49" s="3">
        <f t="shared" si="2"/>
        <v>883.11346034111091</v>
      </c>
      <c r="E49" s="3">
        <f t="shared" si="3"/>
        <v>6213.6245406036769</v>
      </c>
      <c r="F49" s="3">
        <f t="shared" si="4"/>
        <v>132467.01905116663</v>
      </c>
    </row>
    <row r="50" spans="1:6" x14ac:dyDescent="0.25">
      <c r="A50">
        <v>42</v>
      </c>
      <c r="B50">
        <f t="shared" si="0"/>
        <v>42</v>
      </c>
      <c r="C50" s="3">
        <f t="shared" si="1"/>
        <v>7096.7380009447879</v>
      </c>
      <c r="D50" s="3">
        <f t="shared" si="2"/>
        <v>841.68929673708635</v>
      </c>
      <c r="E50" s="3">
        <f t="shared" si="3"/>
        <v>6255.048704207702</v>
      </c>
      <c r="F50" s="3">
        <f t="shared" si="4"/>
        <v>126253.39451056295</v>
      </c>
    </row>
    <row r="51" spans="1:6" x14ac:dyDescent="0.25">
      <c r="A51">
        <v>43</v>
      </c>
      <c r="B51">
        <f t="shared" si="0"/>
        <v>43</v>
      </c>
      <c r="C51" s="3">
        <f t="shared" si="1"/>
        <v>7096.7380009447879</v>
      </c>
      <c r="D51" s="3">
        <f t="shared" si="2"/>
        <v>799.98897204236835</v>
      </c>
      <c r="E51" s="3">
        <f t="shared" si="3"/>
        <v>6296.7490289024199</v>
      </c>
      <c r="F51" s="3">
        <f t="shared" si="4"/>
        <v>119998.34580635525</v>
      </c>
    </row>
    <row r="52" spans="1:6" x14ac:dyDescent="0.25">
      <c r="A52">
        <v>44</v>
      </c>
      <c r="B52">
        <f t="shared" si="0"/>
        <v>44</v>
      </c>
      <c r="C52" s="3">
        <f t="shared" si="1"/>
        <v>7096.7380009447879</v>
      </c>
      <c r="D52" s="3">
        <f t="shared" si="2"/>
        <v>758.01064518301894</v>
      </c>
      <c r="E52" s="3">
        <f t="shared" si="3"/>
        <v>6338.7273557617691</v>
      </c>
      <c r="F52" s="3">
        <f t="shared" si="4"/>
        <v>113701.59677745284</v>
      </c>
    </row>
    <row r="53" spans="1:6" x14ac:dyDescent="0.25">
      <c r="A53">
        <v>45</v>
      </c>
      <c r="B53">
        <f t="shared" si="0"/>
        <v>45</v>
      </c>
      <c r="C53" s="3">
        <f t="shared" si="1"/>
        <v>7096.7380009447879</v>
      </c>
      <c r="D53" s="3">
        <f t="shared" si="2"/>
        <v>715.75246281127374</v>
      </c>
      <c r="E53" s="3">
        <f t="shared" si="3"/>
        <v>6380.9855381335146</v>
      </c>
      <c r="F53" s="3">
        <f t="shared" si="4"/>
        <v>107362.86942169107</v>
      </c>
    </row>
    <row r="54" spans="1:6" x14ac:dyDescent="0.25">
      <c r="A54">
        <v>46</v>
      </c>
      <c r="B54">
        <f t="shared" si="0"/>
        <v>46</v>
      </c>
      <c r="C54" s="3">
        <f t="shared" si="1"/>
        <v>7096.7380009447879</v>
      </c>
      <c r="D54" s="3">
        <f t="shared" si="2"/>
        <v>673.21255922371699</v>
      </c>
      <c r="E54" s="3">
        <f t="shared" si="3"/>
        <v>6423.5254417210708</v>
      </c>
      <c r="F54" s="3">
        <f t="shared" si="4"/>
        <v>100981.88388355754</v>
      </c>
    </row>
    <row r="55" spans="1:6" x14ac:dyDescent="0.25">
      <c r="A55">
        <v>47</v>
      </c>
      <c r="B55">
        <f t="shared" si="0"/>
        <v>47</v>
      </c>
      <c r="C55" s="3">
        <f t="shared" si="1"/>
        <v>7096.7380009447879</v>
      </c>
      <c r="D55" s="3">
        <f t="shared" si="2"/>
        <v>630.38905627890983</v>
      </c>
      <c r="E55" s="3">
        <f t="shared" si="3"/>
        <v>6466.3489446658778</v>
      </c>
      <c r="F55" s="3">
        <f t="shared" si="4"/>
        <v>94558.358441836477</v>
      </c>
    </row>
    <row r="56" spans="1:6" x14ac:dyDescent="0.25">
      <c r="A56">
        <v>48</v>
      </c>
      <c r="B56">
        <f t="shared" si="0"/>
        <v>48</v>
      </c>
      <c r="C56" s="3">
        <f t="shared" si="1"/>
        <v>7096.7380009447879</v>
      </c>
      <c r="D56" s="3">
        <f t="shared" si="2"/>
        <v>587.28006331447068</v>
      </c>
      <c r="E56" s="3">
        <f t="shared" si="3"/>
        <v>6509.4579376303172</v>
      </c>
      <c r="F56" s="3">
        <f t="shared" si="4"/>
        <v>88092.009497170598</v>
      </c>
    </row>
    <row r="57" spans="1:6" x14ac:dyDescent="0.25">
      <c r="A57">
        <v>49</v>
      </c>
      <c r="B57">
        <f t="shared" si="0"/>
        <v>49</v>
      </c>
      <c r="C57" s="3">
        <f t="shared" si="1"/>
        <v>7096.7380009447879</v>
      </c>
      <c r="D57" s="3">
        <f t="shared" si="2"/>
        <v>543.88367706360191</v>
      </c>
      <c r="E57" s="3">
        <f t="shared" si="3"/>
        <v>6552.8543238811862</v>
      </c>
      <c r="F57" s="3">
        <f t="shared" si="4"/>
        <v>81582.551559540283</v>
      </c>
    </row>
    <row r="58" spans="1:6" x14ac:dyDescent="0.25">
      <c r="A58">
        <v>50</v>
      </c>
      <c r="B58">
        <f t="shared" si="0"/>
        <v>50</v>
      </c>
      <c r="C58" s="3">
        <f t="shared" si="1"/>
        <v>7096.7380009447879</v>
      </c>
      <c r="D58" s="3">
        <f t="shared" si="2"/>
        <v>500.19798157106067</v>
      </c>
      <c r="E58" s="3">
        <f t="shared" si="3"/>
        <v>6596.5400193737269</v>
      </c>
      <c r="F58" s="3">
        <f t="shared" si="4"/>
        <v>75029.6972356591</v>
      </c>
    </row>
    <row r="59" spans="1:6" x14ac:dyDescent="0.25">
      <c r="A59">
        <v>51</v>
      </c>
      <c r="B59">
        <f t="shared" si="0"/>
        <v>51</v>
      </c>
      <c r="C59" s="3">
        <f t="shared" si="1"/>
        <v>7096.7380009447879</v>
      </c>
      <c r="D59" s="3">
        <f t="shared" si="2"/>
        <v>456.22104810856916</v>
      </c>
      <c r="E59" s="3">
        <f t="shared" si="3"/>
        <v>6640.5169528362185</v>
      </c>
      <c r="F59" s="3">
        <f t="shared" si="4"/>
        <v>68433.15721628537</v>
      </c>
    </row>
    <row r="60" spans="1:6" x14ac:dyDescent="0.25">
      <c r="A60">
        <v>52</v>
      </c>
      <c r="B60">
        <f t="shared" si="0"/>
        <v>52</v>
      </c>
      <c r="C60" s="3">
        <f t="shared" si="1"/>
        <v>7096.7380009447879</v>
      </c>
      <c r="D60" s="3">
        <f t="shared" si="2"/>
        <v>411.95093508966102</v>
      </c>
      <c r="E60" s="3">
        <f t="shared" si="3"/>
        <v>6684.7870658551274</v>
      </c>
      <c r="F60" s="3">
        <f t="shared" si="4"/>
        <v>61792.640263449153</v>
      </c>
    </row>
    <row r="61" spans="1:6" x14ac:dyDescent="0.25">
      <c r="A61">
        <v>53</v>
      </c>
      <c r="B61">
        <f t="shared" si="0"/>
        <v>53</v>
      </c>
      <c r="C61" s="3">
        <f t="shared" si="1"/>
        <v>7096.7380009447879</v>
      </c>
      <c r="D61" s="3">
        <f t="shared" si="2"/>
        <v>367.38568798396022</v>
      </c>
      <c r="E61" s="3">
        <f t="shared" si="3"/>
        <v>6729.3523129608275</v>
      </c>
      <c r="F61" s="3">
        <f t="shared" si="4"/>
        <v>55107.853197594028</v>
      </c>
    </row>
    <row r="62" spans="1:6" x14ac:dyDescent="0.25">
      <c r="A62">
        <v>54</v>
      </c>
      <c r="B62">
        <f t="shared" si="0"/>
        <v>54</v>
      </c>
      <c r="C62" s="3">
        <f t="shared" si="1"/>
        <v>7096.7380009447879</v>
      </c>
      <c r="D62" s="3">
        <f t="shared" si="2"/>
        <v>322.52333923088798</v>
      </c>
      <c r="E62" s="3">
        <f t="shared" si="3"/>
        <v>6774.2146617138997</v>
      </c>
      <c r="F62" s="3">
        <f t="shared" si="4"/>
        <v>48378.500884633198</v>
      </c>
    </row>
    <row r="63" spans="1:6" x14ac:dyDescent="0.25">
      <c r="A63">
        <v>55</v>
      </c>
      <c r="B63">
        <f t="shared" si="0"/>
        <v>55</v>
      </c>
      <c r="C63" s="3">
        <f t="shared" si="1"/>
        <v>7096.7380009447879</v>
      </c>
      <c r="D63" s="3">
        <f t="shared" si="2"/>
        <v>277.36190815279531</v>
      </c>
      <c r="E63" s="3">
        <f t="shared" si="3"/>
        <v>6819.376092791993</v>
      </c>
      <c r="F63" s="3">
        <f t="shared" si="4"/>
        <v>41604.286222919298</v>
      </c>
    </row>
    <row r="64" spans="1:6" x14ac:dyDescent="0.25">
      <c r="A64">
        <v>56</v>
      </c>
      <c r="B64">
        <f t="shared" si="0"/>
        <v>56</v>
      </c>
      <c r="C64" s="3">
        <f t="shared" si="1"/>
        <v>7096.7380009447879</v>
      </c>
      <c r="D64" s="3">
        <f t="shared" si="2"/>
        <v>231.89940086751537</v>
      </c>
      <c r="E64" s="3">
        <f t="shared" si="3"/>
        <v>6864.8386000772725</v>
      </c>
      <c r="F64" s="3">
        <f t="shared" si="4"/>
        <v>34784.910130127304</v>
      </c>
    </row>
    <row r="65" spans="1:6" x14ac:dyDescent="0.25">
      <c r="A65">
        <v>57</v>
      </c>
      <c r="B65">
        <f t="shared" si="0"/>
        <v>57</v>
      </c>
      <c r="C65" s="3">
        <f t="shared" si="1"/>
        <v>7096.7380009447879</v>
      </c>
      <c r="D65" s="3">
        <f t="shared" si="2"/>
        <v>186.13381020033353</v>
      </c>
      <c r="E65" s="3">
        <f t="shared" si="3"/>
        <v>6910.6041907444542</v>
      </c>
      <c r="F65" s="3">
        <f t="shared" si="4"/>
        <v>27920.071530050031</v>
      </c>
    </row>
    <row r="66" spans="1:6" x14ac:dyDescent="0.25">
      <c r="A66">
        <v>58</v>
      </c>
      <c r="B66">
        <f t="shared" si="0"/>
        <v>58</v>
      </c>
      <c r="C66" s="3">
        <f t="shared" si="1"/>
        <v>7096.7380009447879</v>
      </c>
      <c r="D66" s="3">
        <f t="shared" si="2"/>
        <v>140.06311559537053</v>
      </c>
      <c r="E66" s="3">
        <f t="shared" si="3"/>
        <v>6956.6748853494173</v>
      </c>
      <c r="F66" s="3">
        <f t="shared" si="4"/>
        <v>21009.467339305578</v>
      </c>
    </row>
    <row r="67" spans="1:6" x14ac:dyDescent="0.25">
      <c r="A67">
        <v>59</v>
      </c>
      <c r="B67">
        <f t="shared" si="0"/>
        <v>59</v>
      </c>
      <c r="C67" s="3">
        <f t="shared" si="1"/>
        <v>7096.7380009447879</v>
      </c>
      <c r="D67" s="3">
        <f t="shared" si="2"/>
        <v>93.685283026374407</v>
      </c>
      <c r="E67" s="3">
        <f t="shared" si="3"/>
        <v>7003.0527179184137</v>
      </c>
      <c r="F67" s="3">
        <f t="shared" si="4"/>
        <v>14052.792453956161</v>
      </c>
    </row>
    <row r="68" spans="1:6" x14ac:dyDescent="0.25">
      <c r="A68">
        <v>60</v>
      </c>
      <c r="B68">
        <f t="shared" si="0"/>
        <v>60</v>
      </c>
      <c r="C68" s="3">
        <f t="shared" si="1"/>
        <v>7096.7380009447879</v>
      </c>
      <c r="D68" s="3">
        <f t="shared" si="2"/>
        <v>46.998264906918315</v>
      </c>
      <c r="E68" s="3">
        <f t="shared" si="3"/>
        <v>7049.73973603787</v>
      </c>
      <c r="F68" s="3">
        <f t="shared" si="4"/>
        <v>7049.7397360377472</v>
      </c>
    </row>
    <row r="69" spans="1:6" x14ac:dyDescent="0.25">
      <c r="A69">
        <v>61</v>
      </c>
      <c r="B69">
        <f t="shared" si="0"/>
        <v>0</v>
      </c>
      <c r="C69" s="3">
        <f t="shared" si="1"/>
        <v>0</v>
      </c>
      <c r="D69" s="3">
        <f t="shared" si="2"/>
        <v>0</v>
      </c>
      <c r="E69" s="3">
        <f t="shared" si="3"/>
        <v>0</v>
      </c>
      <c r="F69" s="3">
        <f t="shared" si="4"/>
        <v>0</v>
      </c>
    </row>
    <row r="70" spans="1:6" x14ac:dyDescent="0.25">
      <c r="C70" s="3"/>
      <c r="D70" s="3"/>
      <c r="E70" s="3"/>
      <c r="F7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2" sqref="B12"/>
    </sheetView>
  </sheetViews>
  <sheetFormatPr defaultColWidth="8.85546875" defaultRowHeight="15" x14ac:dyDescent="0.25"/>
  <cols>
    <col min="1" max="1" width="40" customWidth="1"/>
    <col min="2" max="3" width="14" bestFit="1" customWidth="1"/>
    <col min="4" max="4" width="15.28515625" bestFit="1" customWidth="1"/>
    <col min="5" max="5" width="24.7109375" bestFit="1" customWidth="1"/>
  </cols>
  <sheetData>
    <row r="1" spans="1:5" x14ac:dyDescent="0.25">
      <c r="A1" s="4" t="s">
        <v>36</v>
      </c>
      <c r="C1" t="s">
        <v>37</v>
      </c>
      <c r="D1" t="s">
        <v>13</v>
      </c>
      <c r="E1" t="s">
        <v>24</v>
      </c>
    </row>
    <row r="2" spans="1:5" x14ac:dyDescent="0.25">
      <c r="A2" s="4" t="s">
        <v>165</v>
      </c>
      <c r="B2" s="3">
        <f>DATA!B8</f>
        <v>50000</v>
      </c>
    </row>
    <row r="3" spans="1:5" x14ac:dyDescent="0.25">
      <c r="A3" s="4" t="str">
        <f>DATA!A19</f>
        <v>Trucks</v>
      </c>
      <c r="B3" s="3">
        <f>DATA!B19</f>
        <v>300000</v>
      </c>
      <c r="C3">
        <f>DATA!C19</f>
        <v>10</v>
      </c>
      <c r="D3" s="3">
        <f>DATA!D19</f>
        <v>90000</v>
      </c>
      <c r="E3" s="3">
        <f>((B3-D3)/C3)/12</f>
        <v>1750</v>
      </c>
    </row>
    <row r="4" spans="1:5" x14ac:dyDescent="0.25">
      <c r="A4" s="4" t="str">
        <f>DATA!A22</f>
        <v>Trailers</v>
      </c>
      <c r="B4" s="3">
        <f>DATA!B22</f>
        <v>150000</v>
      </c>
      <c r="C4">
        <f>DATA!C22</f>
        <v>10</v>
      </c>
      <c r="D4" s="3">
        <f>DATA!D22</f>
        <v>45000</v>
      </c>
      <c r="E4" s="3">
        <f>((B4-D4)/C4)/12</f>
        <v>875</v>
      </c>
    </row>
    <row r="5" spans="1:5" x14ac:dyDescent="0.25">
      <c r="A5" s="4" t="s">
        <v>39</v>
      </c>
      <c r="B5" s="19">
        <v>0</v>
      </c>
    </row>
    <row r="6" spans="1:5" x14ac:dyDescent="0.25">
      <c r="A6" s="4" t="s">
        <v>40</v>
      </c>
      <c r="B6" s="19">
        <v>0</v>
      </c>
    </row>
    <row r="8" spans="1:5" x14ac:dyDescent="0.25">
      <c r="A8" s="4" t="s">
        <v>41</v>
      </c>
      <c r="B8" s="3">
        <f>SUM(B2:B6)</f>
        <v>500000</v>
      </c>
    </row>
    <row r="10" spans="1:5" x14ac:dyDescent="0.25">
      <c r="A10" s="4" t="s">
        <v>42</v>
      </c>
    </row>
    <row r="11" spans="1:5" x14ac:dyDescent="0.25">
      <c r="A11" s="4" t="s">
        <v>43</v>
      </c>
      <c r="B11" s="19">
        <v>152000</v>
      </c>
    </row>
    <row r="12" spans="1:5" x14ac:dyDescent="0.25">
      <c r="A12" s="4" t="s">
        <v>44</v>
      </c>
      <c r="B12" s="3">
        <f>0</f>
        <v>0</v>
      </c>
    </row>
    <row r="13" spans="1:5" x14ac:dyDescent="0.25">
      <c r="A13" s="4" t="s">
        <v>45</v>
      </c>
      <c r="B13" s="3">
        <f>IF(LoanModule!C5=1,LoanModule!C2,0)</f>
        <v>350000</v>
      </c>
    </row>
    <row r="16" spans="1:5" x14ac:dyDescent="0.25">
      <c r="A16" s="4" t="s">
        <v>46</v>
      </c>
    </row>
    <row r="17" spans="1:2" x14ac:dyDescent="0.25">
      <c r="A17" t="s">
        <v>47</v>
      </c>
      <c r="B17" s="3">
        <f>SUM(B2:B3)</f>
        <v>350000</v>
      </c>
    </row>
    <row r="18" spans="1:2" x14ac:dyDescent="0.25">
      <c r="A18" t="s">
        <v>10</v>
      </c>
      <c r="B18" s="72">
        <f>SUM(B3:B4)</f>
        <v>450000</v>
      </c>
    </row>
    <row r="19" spans="1:2" x14ac:dyDescent="0.25">
      <c r="A19" s="73" t="s">
        <v>142</v>
      </c>
      <c r="B19" s="3">
        <f>SUM(B3:B3)</f>
        <v>300000</v>
      </c>
    </row>
    <row r="20" spans="1:2" x14ac:dyDescent="0.25">
      <c r="A20" s="73" t="s">
        <v>143</v>
      </c>
      <c r="B20" s="3">
        <f>SUM(B4:B4)</f>
        <v>150000</v>
      </c>
    </row>
    <row r="21" spans="1:2" x14ac:dyDescent="0.25">
      <c r="A21" s="4" t="s">
        <v>38</v>
      </c>
      <c r="B21" s="3">
        <f>DATA!B8</f>
        <v>50000</v>
      </c>
    </row>
    <row r="22" spans="1:2" x14ac:dyDescent="0.25">
      <c r="A22" s="4" t="s">
        <v>48</v>
      </c>
      <c r="B22" s="3">
        <v>5000</v>
      </c>
    </row>
    <row r="23" spans="1:2" x14ac:dyDescent="0.25">
      <c r="A23" s="4" t="s">
        <v>40</v>
      </c>
      <c r="B23" s="3">
        <f>B6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11" sqref="B11"/>
    </sheetView>
  </sheetViews>
  <sheetFormatPr defaultColWidth="8.85546875" defaultRowHeight="15" x14ac:dyDescent="0.25"/>
  <cols>
    <col min="1" max="1" width="31.7109375" bestFit="1" customWidth="1"/>
    <col min="2" max="2" width="10.42578125" bestFit="1" customWidth="1"/>
    <col min="3" max="10" width="8.140625" bestFit="1" customWidth="1"/>
    <col min="11" max="12" width="9.28515625" bestFit="1" customWidth="1"/>
    <col min="13" max="13" width="10.42578125" bestFit="1" customWidth="1"/>
    <col min="14" max="14" width="9.2851562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49</v>
      </c>
    </row>
    <row r="3" spans="1:14" x14ac:dyDescent="0.25">
      <c r="A3" t="s">
        <v>50</v>
      </c>
    </row>
    <row r="5" spans="1:14" x14ac:dyDescent="0.25">
      <c r="A5" t="s">
        <v>15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 s="4" t="s">
        <v>50</v>
      </c>
    </row>
    <row r="6" spans="1:14" x14ac:dyDescent="0.25">
      <c r="A6" s="4" t="s">
        <v>51</v>
      </c>
    </row>
    <row r="7" spans="1:14" x14ac:dyDescent="0.25">
      <c r="A7" t="str">
        <f>SUBSTITUTE(DATA!A26,"Days to Get Paid","",1)</f>
        <v>Sales</v>
      </c>
      <c r="B7" s="6">
        <f>DATA!B67</f>
        <v>40800</v>
      </c>
      <c r="C7" s="6">
        <f>DATA!C67</f>
        <v>40881.640799999986</v>
      </c>
      <c r="D7" s="6">
        <f>DATA!D67</f>
        <v>40963.444963240785</v>
      </c>
      <c r="E7" s="6">
        <f>DATA!E67</f>
        <v>41045.41281661221</v>
      </c>
      <c r="F7" s="6">
        <f>DATA!F67</f>
        <v>41127.54468765825</v>
      </c>
      <c r="G7" s="6">
        <f>DATA!G67</f>
        <v>41209.840904578239</v>
      </c>
      <c r="H7" s="6">
        <f>DATA!H67</f>
        <v>41292.30179622829</v>
      </c>
      <c r="I7" s="6">
        <f>DATA!I67</f>
        <v>41374.927692122539</v>
      </c>
      <c r="J7" s="6">
        <f>DATA!J67</f>
        <v>41457.718922434462</v>
      </c>
      <c r="K7" s="6">
        <f>DATA!K67</f>
        <v>41540.67581799825</v>
      </c>
      <c r="L7" s="6">
        <f>DATA!L67</f>
        <v>41623.79871031006</v>
      </c>
      <c r="M7" s="6">
        <f>DATA!M67</f>
        <v>41707.087931529379</v>
      </c>
      <c r="N7" s="7">
        <f>SUM(B7:M7)</f>
        <v>495024.39504271251</v>
      </c>
    </row>
    <row r="8" spans="1:14" x14ac:dyDescent="0.25">
      <c r="A8" s="4" t="s">
        <v>52</v>
      </c>
      <c r="B8" s="9">
        <f t="shared" ref="B8:M8" si="0">SUM(B7:B7)</f>
        <v>40800</v>
      </c>
      <c r="C8" s="9">
        <f t="shared" si="0"/>
        <v>40881.640799999986</v>
      </c>
      <c r="D8" s="9">
        <f t="shared" si="0"/>
        <v>40963.444963240785</v>
      </c>
      <c r="E8" s="9">
        <f t="shared" si="0"/>
        <v>41045.41281661221</v>
      </c>
      <c r="F8" s="9">
        <f t="shared" si="0"/>
        <v>41127.54468765825</v>
      </c>
      <c r="G8" s="9">
        <f t="shared" si="0"/>
        <v>41209.840904578239</v>
      </c>
      <c r="H8" s="9">
        <f t="shared" si="0"/>
        <v>41292.30179622829</v>
      </c>
      <c r="I8" s="9">
        <f t="shared" si="0"/>
        <v>41374.927692122539</v>
      </c>
      <c r="J8" s="9">
        <f t="shared" si="0"/>
        <v>41457.718922434462</v>
      </c>
      <c r="K8" s="9">
        <f t="shared" si="0"/>
        <v>41540.67581799825</v>
      </c>
      <c r="L8" s="9">
        <f t="shared" si="0"/>
        <v>41623.79871031006</v>
      </c>
      <c r="M8" s="9">
        <f t="shared" si="0"/>
        <v>41707.087931529379</v>
      </c>
      <c r="N8" s="9">
        <f>SUM(B8:M8)</f>
        <v>495024.39504271251</v>
      </c>
    </row>
    <row r="10" spans="1:14" x14ac:dyDescent="0.25">
      <c r="A10" t="s">
        <v>127</v>
      </c>
      <c r="B10" s="6">
        <f>DATA!B62</f>
        <v>7680</v>
      </c>
      <c r="C10" s="6">
        <f>DATA!C62</f>
        <v>7703.0707507507495</v>
      </c>
      <c r="D10" s="6">
        <f>DATA!D62</f>
        <v>7726.2108061291301</v>
      </c>
      <c r="E10" s="6">
        <f>DATA!E62</f>
        <v>7749.4203743265189</v>
      </c>
      <c r="F10" s="6">
        <f>DATA!F62</f>
        <v>7772.6996641597034</v>
      </c>
      <c r="G10" s="6">
        <f>DATA!G62</f>
        <v>7796.0488850727588</v>
      </c>
      <c r="H10" s="6">
        <f>DATA!H62</f>
        <v>7819.4682471389269</v>
      </c>
      <c r="I10" s="6">
        <f>DATA!I62</f>
        <v>7842.9579610625115</v>
      </c>
      <c r="J10" s="6">
        <f>DATA!J62</f>
        <v>7866.5182381807754</v>
      </c>
      <c r="K10" s="6">
        <f>DATA!K62</f>
        <v>7890.149290465838</v>
      </c>
      <c r="L10" s="6">
        <f>DATA!L62</f>
        <v>7913.8513305265869</v>
      </c>
      <c r="M10" s="6">
        <f>DATA!M62</f>
        <v>7937.6245716105786</v>
      </c>
      <c r="N10" s="7">
        <f>SUM(B10:M10)</f>
        <v>93698.020119424051</v>
      </c>
    </row>
    <row r="11" spans="1:14" x14ac:dyDescent="0.25">
      <c r="A11" t="s">
        <v>136</v>
      </c>
      <c r="B11" s="6">
        <f>DATA!B63</f>
        <v>5040</v>
      </c>
      <c r="C11" s="6">
        <f>DATA!C63</f>
        <v>5045.0399999999991</v>
      </c>
      <c r="D11" s="6">
        <f>DATA!D63</f>
        <v>5050.0850399999981</v>
      </c>
      <c r="E11" s="6">
        <f>DATA!E63</f>
        <v>5055.1351250399975</v>
      </c>
      <c r="F11" s="6">
        <f>DATA!F63</f>
        <v>5060.1902601650372</v>
      </c>
      <c r="G11" s="6">
        <f>DATA!G63</f>
        <v>5065.250450425202</v>
      </c>
      <c r="H11" s="6">
        <f>DATA!H63</f>
        <v>5070.3157008756261</v>
      </c>
      <c r="I11" s="6">
        <f>DATA!I63</f>
        <v>5075.3860165765018</v>
      </c>
      <c r="J11" s="6">
        <f>DATA!J63</f>
        <v>5080.4614025930769</v>
      </c>
      <c r="K11" s="6">
        <f>DATA!K63</f>
        <v>5085.5418639956697</v>
      </c>
      <c r="L11" s="6">
        <f>DATA!L63</f>
        <v>5090.6274058596646</v>
      </c>
      <c r="M11" s="6">
        <f>DATA!M63</f>
        <v>5095.7180332655244</v>
      </c>
      <c r="N11" s="7">
        <f>SUM(B11:M11)</f>
        <v>60813.751298796298</v>
      </c>
    </row>
    <row r="12" spans="1:14" x14ac:dyDescent="0.25">
      <c r="A12" s="4" t="s">
        <v>53</v>
      </c>
      <c r="B12" s="9">
        <f t="shared" ref="B12:M12" si="1">SUM(B10:B11)</f>
        <v>12720</v>
      </c>
      <c r="C12" s="9">
        <f t="shared" si="1"/>
        <v>12748.110750750748</v>
      </c>
      <c r="D12" s="9">
        <f t="shared" si="1"/>
        <v>12776.295846129127</v>
      </c>
      <c r="E12" s="9">
        <f t="shared" si="1"/>
        <v>12804.555499366517</v>
      </c>
      <c r="F12" s="9">
        <f t="shared" si="1"/>
        <v>12832.88992432474</v>
      </c>
      <c r="G12" s="9">
        <f t="shared" si="1"/>
        <v>12861.299335497961</v>
      </c>
      <c r="H12" s="9">
        <f t="shared" si="1"/>
        <v>12889.783948014552</v>
      </c>
      <c r="I12" s="9">
        <f t="shared" si="1"/>
        <v>12918.343977639013</v>
      </c>
      <c r="J12" s="9">
        <f t="shared" si="1"/>
        <v>12946.979640773852</v>
      </c>
      <c r="K12" s="9">
        <f t="shared" si="1"/>
        <v>12975.691154461507</v>
      </c>
      <c r="L12" s="9">
        <f t="shared" si="1"/>
        <v>13004.478736386252</v>
      </c>
      <c r="M12" s="9">
        <f t="shared" si="1"/>
        <v>13033.342604876103</v>
      </c>
      <c r="N12" s="9">
        <f>SUM(B12:M12)</f>
        <v>154511.77141822036</v>
      </c>
    </row>
    <row r="14" spans="1:14" x14ac:dyDescent="0.25">
      <c r="A14" s="4" t="s">
        <v>54</v>
      </c>
      <c r="B14" s="10">
        <f t="shared" ref="B14:M14" si="2">B8-B12</f>
        <v>28080</v>
      </c>
      <c r="C14" s="10">
        <f t="shared" si="2"/>
        <v>28133.530049249239</v>
      </c>
      <c r="D14" s="10">
        <f t="shared" si="2"/>
        <v>28187.149117111658</v>
      </c>
      <c r="E14" s="10">
        <f t="shared" si="2"/>
        <v>28240.857317245693</v>
      </c>
      <c r="F14" s="10">
        <f t="shared" si="2"/>
        <v>28294.65476333351</v>
      </c>
      <c r="G14" s="10">
        <f t="shared" si="2"/>
        <v>28348.541569080277</v>
      </c>
      <c r="H14" s="10">
        <f t="shared" si="2"/>
        <v>28402.517848213738</v>
      </c>
      <c r="I14" s="10">
        <f t="shared" si="2"/>
        <v>28456.583714483524</v>
      </c>
      <c r="J14" s="10">
        <f t="shared" si="2"/>
        <v>28510.739281660608</v>
      </c>
      <c r="K14" s="10">
        <f t="shared" si="2"/>
        <v>28564.984663536743</v>
      </c>
      <c r="L14" s="10">
        <f t="shared" si="2"/>
        <v>28619.319973923808</v>
      </c>
      <c r="M14" s="10">
        <f t="shared" si="2"/>
        <v>28673.745326653276</v>
      </c>
      <c r="N14" s="10">
        <f>SUM(B14:M14)</f>
        <v>340512.62362449209</v>
      </c>
    </row>
    <row r="15" spans="1:14" x14ac:dyDescent="0.25">
      <c r="A15" t="s">
        <v>55</v>
      </c>
      <c r="B15" s="2">
        <f t="shared" ref="B15:N15" si="3">IF(B8=0,0,B14/B8)</f>
        <v>0.68823529411764706</v>
      </c>
      <c r="C15" s="2">
        <f t="shared" si="3"/>
        <v>0.68817027640557049</v>
      </c>
      <c r="D15" s="2">
        <f t="shared" si="3"/>
        <v>0.68810494679844081</v>
      </c>
      <c r="E15" s="2">
        <f t="shared" si="3"/>
        <v>0.68803930523061618</v>
      </c>
      <c r="F15" s="2">
        <f t="shared" si="3"/>
        <v>0.68797335163614337</v>
      </c>
      <c r="G15" s="2">
        <f t="shared" si="3"/>
        <v>0.68790708594875627</v>
      </c>
      <c r="H15" s="2">
        <f t="shared" si="3"/>
        <v>0.68784050810187758</v>
      </c>
      <c r="I15" s="2">
        <f t="shared" si="3"/>
        <v>0.6877736180286167</v>
      </c>
      <c r="J15" s="2">
        <f t="shared" si="3"/>
        <v>0.6877064156617716</v>
      </c>
      <c r="K15" s="2">
        <f t="shared" si="3"/>
        <v>0.68763890093382751</v>
      </c>
      <c r="L15" s="2">
        <f t="shared" si="3"/>
        <v>0.68757107377695703</v>
      </c>
      <c r="M15" s="2">
        <f t="shared" si="3"/>
        <v>0.68750293412302077</v>
      </c>
      <c r="N15" s="11">
        <f t="shared" si="3"/>
        <v>0.68787038989282823</v>
      </c>
    </row>
    <row r="17" spans="1:14" x14ac:dyDescent="0.25">
      <c r="A17" s="4" t="s">
        <v>17</v>
      </c>
    </row>
    <row r="18" spans="1:14" x14ac:dyDescent="0.25">
      <c r="A18" t="str">
        <f>DATA!A43</f>
        <v>Salaries (Non Drivers)</v>
      </c>
      <c r="B18" s="6">
        <f>DATA!B43</f>
        <v>0</v>
      </c>
      <c r="C18" s="6">
        <f>DATA!C43</f>
        <v>0</v>
      </c>
      <c r="D18" s="6">
        <f>DATA!D43</f>
        <v>0</v>
      </c>
      <c r="E18" s="6">
        <f>DATA!E43</f>
        <v>0</v>
      </c>
      <c r="F18" s="6">
        <f>DATA!F43</f>
        <v>0</v>
      </c>
      <c r="G18" s="6">
        <f>DATA!G43</f>
        <v>0</v>
      </c>
      <c r="H18" s="6">
        <f>DATA!H43</f>
        <v>0</v>
      </c>
      <c r="I18" s="6">
        <f>DATA!I43</f>
        <v>0</v>
      </c>
      <c r="J18" s="6">
        <f>DATA!J43</f>
        <v>0</v>
      </c>
      <c r="K18" s="6">
        <f>DATA!K43</f>
        <v>0</v>
      </c>
      <c r="L18" s="6">
        <f>DATA!L43</f>
        <v>0</v>
      </c>
      <c r="M18" s="6">
        <f>DATA!M43</f>
        <v>0</v>
      </c>
      <c r="N18" s="7">
        <f t="shared" ref="N18:N31" si="4">SUM(B18:M18)</f>
        <v>0</v>
      </c>
    </row>
    <row r="19" spans="1:14" x14ac:dyDescent="0.25">
      <c r="A19" t="str">
        <f>DATA!A44</f>
        <v>Insurance (Liability, Damage, and Cargo)</v>
      </c>
      <c r="B19" s="6">
        <f>DATA!B44</f>
        <v>3091.5</v>
      </c>
      <c r="C19" s="6">
        <f>DATA!C44</f>
        <v>3060.585</v>
      </c>
      <c r="D19" s="6">
        <f>DATA!D44</f>
        <v>3029.9791500000001</v>
      </c>
      <c r="E19" s="6">
        <f>DATA!E44</f>
        <v>2999.6793585</v>
      </c>
      <c r="F19" s="6">
        <f>DATA!F44</f>
        <v>2969.6825649150001</v>
      </c>
      <c r="G19" s="6">
        <f>DATA!G44</f>
        <v>2939.98573926585</v>
      </c>
      <c r="H19" s="6">
        <f>DATA!H44</f>
        <v>2910.5858818731917</v>
      </c>
      <c r="I19" s="6">
        <f>DATA!I44</f>
        <v>2881.4800230544597</v>
      </c>
      <c r="J19" s="6">
        <f>DATA!J44</f>
        <v>2852.665222823915</v>
      </c>
      <c r="K19" s="6">
        <f>DATA!K44</f>
        <v>2824.1385705956759</v>
      </c>
      <c r="L19" s="6">
        <f>DATA!L44</f>
        <v>2795.897184889719</v>
      </c>
      <c r="M19" s="6">
        <f>DATA!M44</f>
        <v>2767.9382130408217</v>
      </c>
      <c r="N19" s="7">
        <f t="shared" si="4"/>
        <v>35124.116908958633</v>
      </c>
    </row>
    <row r="20" spans="1:14" x14ac:dyDescent="0.25">
      <c r="A20" t="str">
        <f>DATA!A46</f>
        <v>Toll Road Payment</v>
      </c>
      <c r="B20" s="6">
        <f>DATA!B46</f>
        <v>240</v>
      </c>
      <c r="C20" s="6">
        <f>DATA!C46</f>
        <v>240</v>
      </c>
      <c r="D20" s="6">
        <f>DATA!D46</f>
        <v>240</v>
      </c>
      <c r="E20" s="6">
        <f>DATA!E46</f>
        <v>240</v>
      </c>
      <c r="F20" s="6">
        <f>DATA!F46</f>
        <v>240</v>
      </c>
      <c r="G20" s="6">
        <f>DATA!G46</f>
        <v>240</v>
      </c>
      <c r="H20" s="6">
        <f>DATA!H46</f>
        <v>240</v>
      </c>
      <c r="I20" s="6">
        <f>DATA!I46</f>
        <v>240</v>
      </c>
      <c r="J20" s="6">
        <f>DATA!J46</f>
        <v>240</v>
      </c>
      <c r="K20" s="6">
        <f>DATA!K46</f>
        <v>240</v>
      </c>
      <c r="L20" s="6">
        <f>DATA!L46</f>
        <v>240</v>
      </c>
      <c r="M20" s="6">
        <f>DATA!M46</f>
        <v>240</v>
      </c>
      <c r="N20" s="7">
        <f t="shared" si="4"/>
        <v>2880</v>
      </c>
    </row>
    <row r="21" spans="1:14" x14ac:dyDescent="0.25">
      <c r="A21" t="str">
        <f>DATA!A47</f>
        <v>Weight and Scale Fees</v>
      </c>
      <c r="B21" s="6">
        <f>DATA!B47</f>
        <v>200</v>
      </c>
      <c r="C21" s="6">
        <f>DATA!C47</f>
        <v>200</v>
      </c>
      <c r="D21" s="6">
        <f>DATA!D47</f>
        <v>200</v>
      </c>
      <c r="E21" s="6">
        <f>DATA!E47</f>
        <v>200</v>
      </c>
      <c r="F21" s="6">
        <f>DATA!F47</f>
        <v>200</v>
      </c>
      <c r="G21" s="6">
        <f>DATA!G47</f>
        <v>200</v>
      </c>
      <c r="H21" s="6">
        <f>DATA!H47</f>
        <v>200</v>
      </c>
      <c r="I21" s="6">
        <f>DATA!I47</f>
        <v>200</v>
      </c>
      <c r="J21" s="6">
        <f>DATA!J47</f>
        <v>200</v>
      </c>
      <c r="K21" s="6">
        <f>DATA!K47</f>
        <v>200</v>
      </c>
      <c r="L21" s="6">
        <f>DATA!L47</f>
        <v>200</v>
      </c>
      <c r="M21" s="6">
        <f>DATA!M47</f>
        <v>200</v>
      </c>
      <c r="N21" s="7">
        <f t="shared" si="4"/>
        <v>2400</v>
      </c>
    </row>
    <row r="22" spans="1:14" x14ac:dyDescent="0.25">
      <c r="A22" t="str">
        <f>DATA!A48</f>
        <v>Repair and Maintenance</v>
      </c>
      <c r="B22" s="6">
        <f>DATA!B48</f>
        <v>1250</v>
      </c>
      <c r="C22" s="6">
        <f>DATA!C48</f>
        <v>1262.5</v>
      </c>
      <c r="D22" s="6">
        <f>DATA!D48</f>
        <v>1275.125</v>
      </c>
      <c r="E22" s="6">
        <f>DATA!E48</f>
        <v>1287.87625</v>
      </c>
      <c r="F22" s="6">
        <f>DATA!F48</f>
        <v>1300.7550125</v>
      </c>
      <c r="G22" s="6">
        <f>DATA!G48</f>
        <v>1313.7625626250001</v>
      </c>
      <c r="H22" s="6">
        <f>DATA!H48</f>
        <v>1326.90018825125</v>
      </c>
      <c r="I22" s="6">
        <f>DATA!I48</f>
        <v>1340.1691901337626</v>
      </c>
      <c r="J22" s="6">
        <f>DATA!J48</f>
        <v>1353.5708820351003</v>
      </c>
      <c r="K22" s="6">
        <f>DATA!K48</f>
        <v>1367.1065908554513</v>
      </c>
      <c r="L22" s="6">
        <f>DATA!L48</f>
        <v>1380.7776567640058</v>
      </c>
      <c r="M22" s="6">
        <f>DATA!M48</f>
        <v>1394.5854333316458</v>
      </c>
      <c r="N22" s="7">
        <f t="shared" si="4"/>
        <v>15853.128766496215</v>
      </c>
    </row>
    <row r="23" spans="1:14" x14ac:dyDescent="0.25">
      <c r="A23" t="str">
        <f>DATA!A50</f>
        <v>Tractor Trailer Notes</v>
      </c>
      <c r="B23" s="6">
        <f>DATA!B50</f>
        <v>6939.91</v>
      </c>
      <c r="C23" s="6">
        <f>DATA!C50</f>
        <v>6939.91</v>
      </c>
      <c r="D23" s="6">
        <f>DATA!D50</f>
        <v>6939.91</v>
      </c>
      <c r="E23" s="6">
        <f>DATA!E50</f>
        <v>6939.91</v>
      </c>
      <c r="F23" s="6">
        <f>DATA!F50</f>
        <v>6939.91</v>
      </c>
      <c r="G23" s="6">
        <f>DATA!G50</f>
        <v>6939.91</v>
      </c>
      <c r="H23" s="6">
        <f>DATA!H50</f>
        <v>6939.91</v>
      </c>
      <c r="I23" s="6">
        <f>DATA!I50</f>
        <v>6939.91</v>
      </c>
      <c r="J23" s="6">
        <f>DATA!J50</f>
        <v>6939.91</v>
      </c>
      <c r="K23" s="6">
        <f>DATA!K50</f>
        <v>6939.91</v>
      </c>
      <c r="L23" s="6">
        <f>DATA!L50</f>
        <v>6939.91</v>
      </c>
      <c r="M23" s="6">
        <f>DATA!M50</f>
        <v>6939.91</v>
      </c>
      <c r="N23" s="7">
        <f t="shared" si="4"/>
        <v>83278.920000000027</v>
      </c>
    </row>
    <row r="24" spans="1:14" x14ac:dyDescent="0.25">
      <c r="A24" t="str">
        <f>DATA!A51</f>
        <v>Permits, Licenses, and Fuel Tax</v>
      </c>
      <c r="B24" s="6">
        <f>DATA!B51</f>
        <v>100</v>
      </c>
      <c r="C24" s="6">
        <f>DATA!C51</f>
        <v>100</v>
      </c>
      <c r="D24" s="6">
        <f>DATA!D51</f>
        <v>100</v>
      </c>
      <c r="E24" s="6">
        <f>DATA!E51</f>
        <v>100</v>
      </c>
      <c r="F24" s="6">
        <f>DATA!F51</f>
        <v>100</v>
      </c>
      <c r="G24" s="6">
        <f>DATA!G51</f>
        <v>100</v>
      </c>
      <c r="H24" s="6">
        <f>DATA!H51</f>
        <v>100</v>
      </c>
      <c r="I24" s="6">
        <f>DATA!I51</f>
        <v>100</v>
      </c>
      <c r="J24" s="6">
        <f>DATA!J51</f>
        <v>100</v>
      </c>
      <c r="K24" s="6">
        <f>DATA!K51</f>
        <v>100</v>
      </c>
      <c r="L24" s="6">
        <f>DATA!L51</f>
        <v>100</v>
      </c>
      <c r="M24" s="6">
        <f>DATA!M51</f>
        <v>100</v>
      </c>
      <c r="N24" s="7">
        <f t="shared" si="4"/>
        <v>1200</v>
      </c>
    </row>
    <row r="25" spans="1:14" x14ac:dyDescent="0.25">
      <c r="A25" t="str">
        <f>DATA!A52</f>
        <v>Office, Admin, and Communication</v>
      </c>
      <c r="B25" s="6">
        <f>DATA!B52</f>
        <v>416.67</v>
      </c>
      <c r="C25" s="6">
        <f>DATA!C52</f>
        <v>416.67</v>
      </c>
      <c r="D25" s="6">
        <f>DATA!D52</f>
        <v>416.67</v>
      </c>
      <c r="E25" s="6">
        <f>DATA!E52</f>
        <v>416.67</v>
      </c>
      <c r="F25" s="6">
        <f>DATA!F52</f>
        <v>416.67</v>
      </c>
      <c r="G25" s="6">
        <f>DATA!G52</f>
        <v>416.67</v>
      </c>
      <c r="H25" s="6">
        <f>DATA!H52</f>
        <v>416.67</v>
      </c>
      <c r="I25" s="6">
        <f>DATA!I52</f>
        <v>416.67</v>
      </c>
      <c r="J25" s="6">
        <f>DATA!J52</f>
        <v>416.67</v>
      </c>
      <c r="K25" s="6">
        <f>DATA!K52</f>
        <v>416.67</v>
      </c>
      <c r="L25" s="6">
        <f>DATA!L52</f>
        <v>416.67</v>
      </c>
      <c r="M25" s="6">
        <f>DATA!M52</f>
        <v>416.67</v>
      </c>
      <c r="N25" s="7">
        <f t="shared" si="4"/>
        <v>5000.04</v>
      </c>
    </row>
    <row r="26" spans="1:14" x14ac:dyDescent="0.25">
      <c r="A26" t="str">
        <f>DATA!A53</f>
        <v>Professional Service Fees (CPA, Legal, etc)</v>
      </c>
      <c r="B26" s="6">
        <f>DATA!B53</f>
        <v>250</v>
      </c>
      <c r="C26" s="6">
        <f>DATA!C53</f>
        <v>250</v>
      </c>
      <c r="D26" s="6">
        <f>DATA!D53</f>
        <v>250</v>
      </c>
      <c r="E26" s="6">
        <f>DATA!E53</f>
        <v>250</v>
      </c>
      <c r="F26" s="6">
        <f>DATA!F53</f>
        <v>250</v>
      </c>
      <c r="G26" s="6">
        <f>DATA!G53</f>
        <v>250</v>
      </c>
      <c r="H26" s="6">
        <f>DATA!H53</f>
        <v>250</v>
      </c>
      <c r="I26" s="6">
        <f>DATA!I53</f>
        <v>250</v>
      </c>
      <c r="J26" s="6">
        <f>DATA!J53</f>
        <v>250</v>
      </c>
      <c r="K26" s="6">
        <f>DATA!K53</f>
        <v>250</v>
      </c>
      <c r="L26" s="6">
        <f>DATA!L53</f>
        <v>250</v>
      </c>
      <c r="M26" s="6">
        <f>DATA!M53</f>
        <v>250</v>
      </c>
      <c r="N26" s="7">
        <f t="shared" si="4"/>
        <v>3000</v>
      </c>
    </row>
    <row r="27" spans="1:14" x14ac:dyDescent="0.25">
      <c r="A27" t="str">
        <f>DATA!A54</f>
        <v>Reserve for Unforseen Expenses</v>
      </c>
      <c r="B27" s="6">
        <f>DATA!B54</f>
        <v>10000</v>
      </c>
      <c r="C27" s="6">
        <f>DATA!C54</f>
        <v>0</v>
      </c>
      <c r="D27" s="6">
        <f>DATA!D54</f>
        <v>0</v>
      </c>
      <c r="E27" s="6">
        <f>DATA!E54</f>
        <v>0</v>
      </c>
      <c r="F27" s="6">
        <f>DATA!F54</f>
        <v>0</v>
      </c>
      <c r="G27" s="6">
        <f>DATA!G54</f>
        <v>0</v>
      </c>
      <c r="H27" s="6">
        <f>DATA!H54</f>
        <v>0</v>
      </c>
      <c r="I27" s="6">
        <f>DATA!I54</f>
        <v>0</v>
      </c>
      <c r="J27" s="6">
        <f>DATA!J54</f>
        <v>0</v>
      </c>
      <c r="K27" s="6">
        <f>DATA!K54</f>
        <v>0</v>
      </c>
      <c r="L27" s="6">
        <f>DATA!L54</f>
        <v>0</v>
      </c>
      <c r="M27" s="6">
        <f>DATA!M54</f>
        <v>0</v>
      </c>
      <c r="N27" s="7">
        <f t="shared" si="4"/>
        <v>10000</v>
      </c>
    </row>
    <row r="28" spans="1:14" x14ac:dyDescent="0.25">
      <c r="A28" t="s">
        <v>56</v>
      </c>
      <c r="B28" s="6">
        <f>LoanModule!D9</f>
        <v>2333.3333333333335</v>
      </c>
      <c r="C28" s="6">
        <f>LoanModule!D10</f>
        <v>2301.5773022159237</v>
      </c>
      <c r="D28" s="6">
        <f>LoanModule!D11</f>
        <v>2269.6095642243977</v>
      </c>
      <c r="E28" s="6">
        <f>LoanModule!D12</f>
        <v>2237.4287079795954</v>
      </c>
      <c r="F28" s="6">
        <f>LoanModule!D13</f>
        <v>2205.0333126931605</v>
      </c>
      <c r="G28" s="6">
        <f>LoanModule!D14</f>
        <v>2172.4219481048162</v>
      </c>
      <c r="H28" s="6">
        <f>LoanModule!D15</f>
        <v>2139.5931744192162</v>
      </c>
      <c r="I28" s="6">
        <f>LoanModule!D16</f>
        <v>2106.5455422423793</v>
      </c>
      <c r="J28" s="6">
        <f>LoanModule!D17</f>
        <v>2073.2775925176961</v>
      </c>
      <c r="K28" s="6">
        <f>LoanModule!D18</f>
        <v>2039.7878564615157</v>
      </c>
      <c r="L28" s="6">
        <f>LoanModule!D19</f>
        <v>2006.0748554982936</v>
      </c>
      <c r="M28" s="6">
        <f>LoanModule!D20</f>
        <v>1972.137101195317</v>
      </c>
      <c r="N28" s="7">
        <f t="shared" si="4"/>
        <v>25856.820290885647</v>
      </c>
    </row>
    <row r="29" spans="1:14" x14ac:dyDescent="0.25">
      <c r="A29" t="s">
        <v>57</v>
      </c>
      <c r="B29" s="6">
        <f>DATA!B56*DATA!B61</f>
        <v>0</v>
      </c>
      <c r="C29" s="6">
        <f>DATA!B56*DATA!C61</f>
        <v>0</v>
      </c>
      <c r="D29" s="6">
        <f>DATA!B56*DATA!D61</f>
        <v>0</v>
      </c>
      <c r="E29" s="6">
        <f>DATA!B56*DATA!E61</f>
        <v>0</v>
      </c>
      <c r="F29" s="6">
        <f>DATA!B56*DATA!F61</f>
        <v>0</v>
      </c>
      <c r="G29" s="6">
        <f>DATA!B56*DATA!G61</f>
        <v>0</v>
      </c>
      <c r="H29" s="6">
        <f>DATA!B56*DATA!H61</f>
        <v>0</v>
      </c>
      <c r="I29" s="6">
        <f>DATA!B56*DATA!I61</f>
        <v>0</v>
      </c>
      <c r="J29" s="6">
        <f>DATA!B56*DATA!J61</f>
        <v>0</v>
      </c>
      <c r="K29" s="6">
        <f>DATA!B56*DATA!K61</f>
        <v>0</v>
      </c>
      <c r="L29" s="6">
        <f>DATA!B56*DATA!L61</f>
        <v>0</v>
      </c>
      <c r="M29" s="6">
        <f>DATA!B56*DATA!M61</f>
        <v>0</v>
      </c>
      <c r="N29" s="7">
        <f t="shared" si="4"/>
        <v>0</v>
      </c>
    </row>
    <row r="30" spans="1:14" x14ac:dyDescent="0.25">
      <c r="A30" t="s">
        <v>58</v>
      </c>
      <c r="B30" s="6">
        <f>DATA!B65</f>
        <v>2625</v>
      </c>
      <c r="C30" s="6">
        <f>DATA!C65</f>
        <v>2625</v>
      </c>
      <c r="D30" s="6">
        <f>DATA!D65</f>
        <v>2625</v>
      </c>
      <c r="E30" s="6">
        <f>DATA!E65</f>
        <v>2625</v>
      </c>
      <c r="F30" s="6">
        <f>DATA!F65</f>
        <v>2625</v>
      </c>
      <c r="G30" s="6">
        <f>DATA!G65</f>
        <v>2625</v>
      </c>
      <c r="H30" s="6">
        <f>DATA!H65</f>
        <v>2625</v>
      </c>
      <c r="I30" s="6">
        <f>DATA!I65</f>
        <v>2625</v>
      </c>
      <c r="J30" s="6">
        <f>DATA!J65</f>
        <v>2625</v>
      </c>
      <c r="K30" s="6">
        <f>DATA!K65</f>
        <v>2625</v>
      </c>
      <c r="L30" s="6">
        <f>DATA!L65</f>
        <v>2625</v>
      </c>
      <c r="M30" s="6">
        <f>DATA!M65</f>
        <v>2625</v>
      </c>
      <c r="N30" s="7">
        <f t="shared" si="4"/>
        <v>31500</v>
      </c>
    </row>
    <row r="31" spans="1:14" x14ac:dyDescent="0.25">
      <c r="A31" s="4" t="s">
        <v>59</v>
      </c>
      <c r="B31" s="8">
        <f t="shared" ref="B31:M31" si="5">SUM(B18:B30)</f>
        <v>27446.413333333334</v>
      </c>
      <c r="C31" s="8">
        <f t="shared" si="5"/>
        <v>17396.242302215924</v>
      </c>
      <c r="D31" s="8">
        <f t="shared" si="5"/>
        <v>17346.293714224397</v>
      </c>
      <c r="E31" s="8">
        <f t="shared" si="5"/>
        <v>17296.564316479595</v>
      </c>
      <c r="F31" s="8">
        <f t="shared" si="5"/>
        <v>17247.050890108159</v>
      </c>
      <c r="G31" s="8">
        <f t="shared" si="5"/>
        <v>17197.750249995668</v>
      </c>
      <c r="H31" s="8">
        <f t="shared" si="5"/>
        <v>17148.659244543658</v>
      </c>
      <c r="I31" s="8">
        <f t="shared" si="5"/>
        <v>17099.774755430601</v>
      </c>
      <c r="J31" s="8">
        <f t="shared" si="5"/>
        <v>17051.093697376709</v>
      </c>
      <c r="K31" s="8">
        <f t="shared" si="5"/>
        <v>17002.613017912641</v>
      </c>
      <c r="L31" s="8">
        <f t="shared" si="5"/>
        <v>16954.329697152018</v>
      </c>
      <c r="M31" s="8">
        <f t="shared" si="5"/>
        <v>16906.240747567786</v>
      </c>
      <c r="N31" s="8">
        <f t="shared" si="4"/>
        <v>216093.02596634053</v>
      </c>
    </row>
    <row r="33" spans="1:14" x14ac:dyDescent="0.25">
      <c r="A33" s="4" t="s">
        <v>60</v>
      </c>
      <c r="B33" s="10">
        <f t="shared" ref="B33:M33" si="6">B14-B31</f>
        <v>633.58666666666613</v>
      </c>
      <c r="C33" s="10">
        <f t="shared" si="6"/>
        <v>10737.287747033315</v>
      </c>
      <c r="D33" s="10">
        <f t="shared" si="6"/>
        <v>10840.85540288726</v>
      </c>
      <c r="E33" s="10">
        <f t="shared" si="6"/>
        <v>10944.293000766098</v>
      </c>
      <c r="F33" s="10">
        <f t="shared" si="6"/>
        <v>11047.603873225351</v>
      </c>
      <c r="G33" s="10">
        <f t="shared" si="6"/>
        <v>11150.791319084608</v>
      </c>
      <c r="H33" s="10">
        <f t="shared" si="6"/>
        <v>11253.85860367008</v>
      </c>
      <c r="I33" s="10">
        <f t="shared" si="6"/>
        <v>11356.808959052923</v>
      </c>
      <c r="J33" s="10">
        <f t="shared" si="6"/>
        <v>11459.645584283899</v>
      </c>
      <c r="K33" s="10">
        <f t="shared" si="6"/>
        <v>11562.371645624102</v>
      </c>
      <c r="L33" s="10">
        <f t="shared" si="6"/>
        <v>11664.99027677179</v>
      </c>
      <c r="M33" s="10">
        <f t="shared" si="6"/>
        <v>11767.504579085489</v>
      </c>
      <c r="N33" s="10">
        <f>SUM(B33:M33)</f>
        <v>124419.59765815159</v>
      </c>
    </row>
    <row r="35" spans="1:14" x14ac:dyDescent="0.25">
      <c r="A35" t="s">
        <v>61</v>
      </c>
      <c r="B35" s="6">
        <f>N35/12</f>
        <v>1555.244970726895</v>
      </c>
      <c r="C35" s="6">
        <f>N35/12</f>
        <v>1555.244970726895</v>
      </c>
      <c r="D35" s="6">
        <f>N35/12</f>
        <v>1555.244970726895</v>
      </c>
      <c r="E35" s="6">
        <f>N35/12</f>
        <v>1555.244970726895</v>
      </c>
      <c r="F35" s="6">
        <f>N35/12</f>
        <v>1555.244970726895</v>
      </c>
      <c r="G35" s="6">
        <f>N35/12</f>
        <v>1555.244970726895</v>
      </c>
      <c r="H35" s="6">
        <f>N35/12</f>
        <v>1555.244970726895</v>
      </c>
      <c r="I35" s="6">
        <f>N35/12</f>
        <v>1555.244970726895</v>
      </c>
      <c r="J35" s="6">
        <f>N35/12</f>
        <v>1555.244970726895</v>
      </c>
      <c r="K35" s="6">
        <f>N35/12</f>
        <v>1555.244970726895</v>
      </c>
      <c r="L35" s="6">
        <f>N35/12</f>
        <v>1555.244970726895</v>
      </c>
      <c r="M35" s="6">
        <f>N35/12</f>
        <v>1555.244970726895</v>
      </c>
      <c r="N35" s="7">
        <f>IF(N33&lt;=0,0,N33*DATA!B57)</f>
        <v>18662.939648722739</v>
      </c>
    </row>
    <row r="37" spans="1:14" x14ac:dyDescent="0.25">
      <c r="A37" s="4" t="s">
        <v>62</v>
      </c>
      <c r="B37" s="9">
        <f t="shared" ref="B37:M37" si="7">B33-B35</f>
        <v>-921.65830406022883</v>
      </c>
      <c r="C37" s="9">
        <f t="shared" si="7"/>
        <v>9182.0427763064199</v>
      </c>
      <c r="D37" s="9">
        <f t="shared" si="7"/>
        <v>9285.6104321603652</v>
      </c>
      <c r="E37" s="9">
        <f t="shared" si="7"/>
        <v>9389.0480300392028</v>
      </c>
      <c r="F37" s="9">
        <f t="shared" si="7"/>
        <v>9492.3589024984558</v>
      </c>
      <c r="G37" s="9">
        <f t="shared" si="7"/>
        <v>9595.5463483577132</v>
      </c>
      <c r="H37" s="9">
        <f t="shared" si="7"/>
        <v>9698.6136329431847</v>
      </c>
      <c r="I37" s="9">
        <f t="shared" si="7"/>
        <v>9801.5639883260283</v>
      </c>
      <c r="J37" s="9">
        <f t="shared" si="7"/>
        <v>9904.4006135570035</v>
      </c>
      <c r="K37" s="9">
        <f t="shared" si="7"/>
        <v>10007.126674897207</v>
      </c>
      <c r="L37" s="9">
        <f t="shared" si="7"/>
        <v>10109.745306044895</v>
      </c>
      <c r="M37" s="9">
        <f t="shared" si="7"/>
        <v>10212.259608358594</v>
      </c>
      <c r="N37" s="9">
        <f>SUM(B37:M37)</f>
        <v>105756.65800942884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A11" sqref="A11"/>
    </sheetView>
  </sheetViews>
  <sheetFormatPr defaultColWidth="8.85546875" defaultRowHeight="15" x14ac:dyDescent="0.25"/>
  <cols>
    <col min="1" max="1" width="31.710937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49</v>
      </c>
    </row>
    <row r="3" spans="1:14" x14ac:dyDescent="0.25">
      <c r="A3" t="s">
        <v>64</v>
      </c>
    </row>
    <row r="5" spans="1:14" x14ac:dyDescent="0.25">
      <c r="A5" t="s">
        <v>15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64</v>
      </c>
    </row>
    <row r="6" spans="1:14" x14ac:dyDescent="0.25">
      <c r="A6" s="4" t="s">
        <v>51</v>
      </c>
    </row>
    <row r="7" spans="1:14" x14ac:dyDescent="0.25">
      <c r="A7" t="str">
        <f>SUBSTITUTE(DATA!A26,"Days to Get Paid","",1)</f>
        <v>Sales</v>
      </c>
      <c r="B7" s="6">
        <f>DATA!N67</f>
        <v>41790.543814480363</v>
      </c>
      <c r="C7" s="6">
        <f>DATA!O67</f>
        <v>41874.166692653132</v>
      </c>
      <c r="D7" s="6">
        <f>DATA!P67</f>
        <v>41957.956900205121</v>
      </c>
      <c r="E7" s="6">
        <f>DATA!Q67</f>
        <v>42041.914771962423</v>
      </c>
      <c r="F7" s="6">
        <f>DATA!R67</f>
        <v>42126.040643421104</v>
      </c>
      <c r="G7" s="6">
        <f>DATA!S67</f>
        <v>42210.334850748579</v>
      </c>
      <c r="H7" s="6">
        <f>DATA!T67</f>
        <v>42294.797730784914</v>
      </c>
      <c r="I7" s="6">
        <f>DATA!U67</f>
        <v>42379.429621044204</v>
      </c>
      <c r="J7" s="6">
        <f>DATA!V67</f>
        <v>42464.230859715914</v>
      </c>
      <c r="K7" s="6">
        <f>DATA!W67</f>
        <v>42549.201785666191</v>
      </c>
      <c r="L7" s="6">
        <f>DATA!X67</f>
        <v>42634.3427384393</v>
      </c>
      <c r="M7" s="6">
        <f>DATA!Y67</f>
        <v>42719.654058258908</v>
      </c>
      <c r="N7" s="7">
        <f>SUM(B7:M7)</f>
        <v>507042.61446738016</v>
      </c>
    </row>
    <row r="8" spans="1:14" x14ac:dyDescent="0.25">
      <c r="A8" s="4" t="s">
        <v>52</v>
      </c>
      <c r="B8" s="9">
        <f t="shared" ref="B8:M8" si="0">SUM(B7:B7)</f>
        <v>41790.543814480363</v>
      </c>
      <c r="C8" s="9">
        <f t="shared" si="0"/>
        <v>41874.166692653132</v>
      </c>
      <c r="D8" s="9">
        <f t="shared" si="0"/>
        <v>41957.956900205121</v>
      </c>
      <c r="E8" s="9">
        <f t="shared" si="0"/>
        <v>42041.914771962423</v>
      </c>
      <c r="F8" s="9">
        <f t="shared" si="0"/>
        <v>42126.040643421104</v>
      </c>
      <c r="G8" s="9">
        <f t="shared" si="0"/>
        <v>42210.334850748579</v>
      </c>
      <c r="H8" s="9">
        <f t="shared" si="0"/>
        <v>42294.797730784914</v>
      </c>
      <c r="I8" s="9">
        <f t="shared" si="0"/>
        <v>42379.429621044204</v>
      </c>
      <c r="J8" s="9">
        <f t="shared" si="0"/>
        <v>42464.230859715914</v>
      </c>
      <c r="K8" s="9">
        <f t="shared" si="0"/>
        <v>42549.201785666191</v>
      </c>
      <c r="L8" s="9">
        <f t="shared" si="0"/>
        <v>42634.3427384393</v>
      </c>
      <c r="M8" s="9">
        <f t="shared" si="0"/>
        <v>42719.654058258908</v>
      </c>
      <c r="N8" s="9">
        <f>SUM(B8:M8)</f>
        <v>507042.61446738016</v>
      </c>
    </row>
    <row r="10" spans="1:14" x14ac:dyDescent="0.25">
      <c r="A10" t="s">
        <v>127</v>
      </c>
      <c r="B10" s="6">
        <f>DATA!N62</f>
        <v>7961.4692276059759</v>
      </c>
      <c r="C10" s="6">
        <f>DATA!O62</f>
        <v>7985.3855130434567</v>
      </c>
      <c r="D10" s="6">
        <f>DATA!P62</f>
        <v>8009.3736430981544</v>
      </c>
      <c r="E10" s="6">
        <f>DATA!Q62</f>
        <v>8033.4338335915827</v>
      </c>
      <c r="F10" s="6">
        <f>DATA!R62</f>
        <v>8057.5663009935915</v>
      </c>
      <c r="G10" s="6">
        <f>DATA!S62</f>
        <v>8081.7712624243004</v>
      </c>
      <c r="H10" s="6">
        <f>DATA!T62</f>
        <v>8106.0489356560665</v>
      </c>
      <c r="I10" s="6">
        <f>DATA!U62</f>
        <v>8130.3995391154276</v>
      </c>
      <c r="J10" s="6">
        <f>DATA!V62</f>
        <v>8154.8232918850808</v>
      </c>
      <c r="K10" s="6">
        <f>DATA!W62</f>
        <v>8179.3204137058474</v>
      </c>
      <c r="L10" s="6">
        <f>DATA!X62</f>
        <v>8203.8911249786506</v>
      </c>
      <c r="M10" s="6">
        <f>DATA!Y62</f>
        <v>8228.5356467664969</v>
      </c>
      <c r="N10" s="7">
        <f>SUM(B10:M10)</f>
        <v>97132.018732864628</v>
      </c>
    </row>
    <row r="11" spans="1:14" x14ac:dyDescent="0.25">
      <c r="A11" t="s">
        <v>136</v>
      </c>
      <c r="B11" s="6">
        <f>DATA!N63</f>
        <v>5222.2616977582838</v>
      </c>
      <c r="C11" s="6">
        <f>DATA!O63</f>
        <v>5227.4839594560417</v>
      </c>
      <c r="D11" s="6">
        <f>DATA!P63</f>
        <v>5232.7114434154973</v>
      </c>
      <c r="E11" s="6">
        <f>DATA!Q63</f>
        <v>5237.944154858912</v>
      </c>
      <c r="F11" s="6">
        <f>DATA!R63</f>
        <v>5243.1820990137703</v>
      </c>
      <c r="G11" s="6">
        <f>DATA!S63</f>
        <v>5248.4252811127826</v>
      </c>
      <c r="H11" s="6">
        <f>DATA!T63</f>
        <v>5253.6737063938954</v>
      </c>
      <c r="I11" s="6">
        <f>DATA!U63</f>
        <v>5258.9273801002882</v>
      </c>
      <c r="J11" s="6">
        <f>DATA!V63</f>
        <v>5264.1863074803887</v>
      </c>
      <c r="K11" s="6">
        <f>DATA!W63</f>
        <v>5269.4504937878683</v>
      </c>
      <c r="L11" s="6">
        <f>DATA!X63</f>
        <v>5274.7199442816554</v>
      </c>
      <c r="M11" s="6">
        <f>DATA!Y63</f>
        <v>5279.9946642259365</v>
      </c>
      <c r="N11" s="7">
        <f>SUM(B11:M11)</f>
        <v>63012.96113188532</v>
      </c>
    </row>
    <row r="12" spans="1:14" x14ac:dyDescent="0.25">
      <c r="A12" s="4" t="s">
        <v>53</v>
      </c>
      <c r="B12" s="9">
        <f t="shared" ref="B12:M12" si="1">SUM(B10:B11)</f>
        <v>13183.73092536426</v>
      </c>
      <c r="C12" s="9">
        <f t="shared" si="1"/>
        <v>13212.869472499498</v>
      </c>
      <c r="D12" s="9">
        <f t="shared" si="1"/>
        <v>13242.085086513653</v>
      </c>
      <c r="E12" s="9">
        <f t="shared" si="1"/>
        <v>13271.377988450495</v>
      </c>
      <c r="F12" s="9">
        <f t="shared" si="1"/>
        <v>13300.748400007362</v>
      </c>
      <c r="G12" s="9">
        <f t="shared" si="1"/>
        <v>13330.196543537084</v>
      </c>
      <c r="H12" s="9">
        <f t="shared" si="1"/>
        <v>13359.722642049961</v>
      </c>
      <c r="I12" s="9">
        <f t="shared" si="1"/>
        <v>13389.326919215717</v>
      </c>
      <c r="J12" s="9">
        <f t="shared" si="1"/>
        <v>13419.009599365469</v>
      </c>
      <c r="K12" s="9">
        <f t="shared" si="1"/>
        <v>13448.770907493716</v>
      </c>
      <c r="L12" s="9">
        <f t="shared" si="1"/>
        <v>13478.611069260307</v>
      </c>
      <c r="M12" s="9">
        <f t="shared" si="1"/>
        <v>13508.530310992433</v>
      </c>
      <c r="N12" s="9">
        <f>SUM(B12:M12)</f>
        <v>160144.97986474997</v>
      </c>
    </row>
    <row r="14" spans="1:14" x14ac:dyDescent="0.25">
      <c r="A14" s="4" t="s">
        <v>54</v>
      </c>
      <c r="B14" s="10">
        <f t="shared" ref="B14:M14" si="2">B8-B12</f>
        <v>28606.812889116103</v>
      </c>
      <c r="C14" s="10">
        <f t="shared" si="2"/>
        <v>28661.297220153632</v>
      </c>
      <c r="D14" s="10">
        <f t="shared" si="2"/>
        <v>28715.871813691469</v>
      </c>
      <c r="E14" s="10">
        <f t="shared" si="2"/>
        <v>28770.536783511929</v>
      </c>
      <c r="F14" s="10">
        <f t="shared" si="2"/>
        <v>28825.292243413744</v>
      </c>
      <c r="G14" s="10">
        <f t="shared" si="2"/>
        <v>28880.138307211495</v>
      </c>
      <c r="H14" s="10">
        <f t="shared" si="2"/>
        <v>28935.075088734953</v>
      </c>
      <c r="I14" s="10">
        <f t="shared" si="2"/>
        <v>28990.102701828488</v>
      </c>
      <c r="J14" s="10">
        <f t="shared" si="2"/>
        <v>29045.221260350445</v>
      </c>
      <c r="K14" s="10">
        <f t="shared" si="2"/>
        <v>29100.430878172476</v>
      </c>
      <c r="L14" s="10">
        <f t="shared" si="2"/>
        <v>29155.731669178993</v>
      </c>
      <c r="M14" s="10">
        <f t="shared" si="2"/>
        <v>29211.123747266472</v>
      </c>
      <c r="N14" s="10">
        <f>SUM(B14:M14)</f>
        <v>346897.63460263016</v>
      </c>
    </row>
    <row r="15" spans="1:14" x14ac:dyDescent="0.25">
      <c r="A15" t="s">
        <v>55</v>
      </c>
      <c r="B15" s="2">
        <f t="shared" ref="B15:N15" si="3">IF(B8=0,0,B14/B8)</f>
        <v>0.68452837120544685</v>
      </c>
      <c r="C15" s="2">
        <f t="shared" si="3"/>
        <v>0.68446250955920007</v>
      </c>
      <c r="D15" s="2">
        <f t="shared" si="3"/>
        <v>0.68439633230928565</v>
      </c>
      <c r="E15" s="2">
        <f t="shared" si="3"/>
        <v>0.68432983938921066</v>
      </c>
      <c r="F15" s="2">
        <f t="shared" si="3"/>
        <v>0.68426303073216632</v>
      </c>
      <c r="G15" s="2">
        <f t="shared" si="3"/>
        <v>0.68419590627102833</v>
      </c>
      <c r="H15" s="2">
        <f t="shared" si="3"/>
        <v>0.68412846593835619</v>
      </c>
      <c r="I15" s="2">
        <f t="shared" si="3"/>
        <v>0.68406070966639376</v>
      </c>
      <c r="J15" s="2">
        <f t="shared" si="3"/>
        <v>0.68399263738706884</v>
      </c>
      <c r="K15" s="2">
        <f t="shared" si="3"/>
        <v>0.68392424903199278</v>
      </c>
      <c r="L15" s="2">
        <f t="shared" si="3"/>
        <v>0.68385554453246122</v>
      </c>
      <c r="M15" s="2">
        <f t="shared" si="3"/>
        <v>0.6837865238194536</v>
      </c>
      <c r="N15" s="11">
        <f t="shared" si="3"/>
        <v>0.6841587367701365</v>
      </c>
    </row>
    <row r="17" spans="1:14" x14ac:dyDescent="0.25">
      <c r="A17" s="4" t="s">
        <v>17</v>
      </c>
    </row>
    <row r="18" spans="1:14" x14ac:dyDescent="0.25">
      <c r="A18" t="str">
        <f>DATA!A43</f>
        <v>Salaries (Non Drivers)</v>
      </c>
      <c r="B18" s="6">
        <f>DATA!N43</f>
        <v>0</v>
      </c>
      <c r="C18" s="6">
        <f>DATA!O43</f>
        <v>0</v>
      </c>
      <c r="D18" s="6">
        <f>DATA!P43</f>
        <v>0</v>
      </c>
      <c r="E18" s="6">
        <f>DATA!Q43</f>
        <v>0</v>
      </c>
      <c r="F18" s="6">
        <f>DATA!R43</f>
        <v>0</v>
      </c>
      <c r="G18" s="6">
        <f>DATA!S43</f>
        <v>0</v>
      </c>
      <c r="H18" s="6">
        <f>DATA!T43</f>
        <v>0</v>
      </c>
      <c r="I18" s="6">
        <f>DATA!U43</f>
        <v>0</v>
      </c>
      <c r="J18" s="6">
        <f>DATA!V43</f>
        <v>0</v>
      </c>
      <c r="K18" s="6">
        <f>DATA!W43</f>
        <v>0</v>
      </c>
      <c r="L18" s="6">
        <f>DATA!X43</f>
        <v>0</v>
      </c>
      <c r="M18" s="6">
        <f>DATA!Y43</f>
        <v>0</v>
      </c>
      <c r="N18" s="7">
        <f t="shared" ref="N18:N31" si="4">SUM(B18:M18)</f>
        <v>0</v>
      </c>
    </row>
    <row r="19" spans="1:14" x14ac:dyDescent="0.25">
      <c r="A19" t="str">
        <f>DATA!A44</f>
        <v>Insurance (Liability, Damage, and Cargo)</v>
      </c>
      <c r="B19" s="6">
        <f>DATA!N44</f>
        <v>2740.2588309104135</v>
      </c>
      <c r="C19" s="6">
        <f>DATA!O44</f>
        <v>2712.8562426013095</v>
      </c>
      <c r="D19" s="6">
        <f>DATA!P44</f>
        <v>2685.7276801752964</v>
      </c>
      <c r="E19" s="6">
        <f>DATA!Q44</f>
        <v>2658.8704033735435</v>
      </c>
      <c r="F19" s="6">
        <f>DATA!R44</f>
        <v>2632.2816993398078</v>
      </c>
      <c r="G19" s="6">
        <f>DATA!S44</f>
        <v>2605.9588823464096</v>
      </c>
      <c r="H19" s="6">
        <f>DATA!T44</f>
        <v>2579.8992935229453</v>
      </c>
      <c r="I19" s="6">
        <f>DATA!U44</f>
        <v>2554.100300587716</v>
      </c>
      <c r="J19" s="6">
        <f>DATA!V44</f>
        <v>2528.559297581839</v>
      </c>
      <c r="K19" s="6">
        <f>DATA!W44</f>
        <v>2503.2737046060206</v>
      </c>
      <c r="L19" s="6">
        <f>DATA!X44</f>
        <v>2478.2409675599602</v>
      </c>
      <c r="M19" s="6">
        <f>DATA!Y44</f>
        <v>2453.4585578843607</v>
      </c>
      <c r="N19" s="7">
        <f t="shared" si="4"/>
        <v>31133.485860489625</v>
      </c>
    </row>
    <row r="20" spans="1:14" x14ac:dyDescent="0.25">
      <c r="A20" t="str">
        <f>DATA!A46</f>
        <v>Toll Road Payment</v>
      </c>
      <c r="B20" s="6">
        <f>DATA!N46</f>
        <v>240</v>
      </c>
      <c r="C20" s="6">
        <f>DATA!O46</f>
        <v>240</v>
      </c>
      <c r="D20" s="6">
        <f>DATA!P46</f>
        <v>240</v>
      </c>
      <c r="E20" s="6">
        <f>DATA!Q46</f>
        <v>240</v>
      </c>
      <c r="F20" s="6">
        <f>DATA!R46</f>
        <v>240</v>
      </c>
      <c r="G20" s="6">
        <f>DATA!S46</f>
        <v>240</v>
      </c>
      <c r="H20" s="6">
        <f>DATA!T46</f>
        <v>240</v>
      </c>
      <c r="I20" s="6">
        <f>DATA!U46</f>
        <v>240</v>
      </c>
      <c r="J20" s="6">
        <f>DATA!V46</f>
        <v>240</v>
      </c>
      <c r="K20" s="6">
        <f>DATA!W46</f>
        <v>240</v>
      </c>
      <c r="L20" s="6">
        <f>DATA!X46</f>
        <v>240</v>
      </c>
      <c r="M20" s="6">
        <f>DATA!Y46</f>
        <v>240</v>
      </c>
      <c r="N20" s="7">
        <f t="shared" si="4"/>
        <v>2880</v>
      </c>
    </row>
    <row r="21" spans="1:14" x14ac:dyDescent="0.25">
      <c r="A21" t="str">
        <f>DATA!A47</f>
        <v>Weight and Scale Fees</v>
      </c>
      <c r="B21" s="6">
        <f>DATA!N47</f>
        <v>200</v>
      </c>
      <c r="C21" s="6">
        <f>DATA!O47</f>
        <v>200</v>
      </c>
      <c r="D21" s="6">
        <f>DATA!P47</f>
        <v>200</v>
      </c>
      <c r="E21" s="6">
        <f>DATA!Q47</f>
        <v>200</v>
      </c>
      <c r="F21" s="6">
        <f>DATA!R47</f>
        <v>200</v>
      </c>
      <c r="G21" s="6">
        <f>DATA!S47</f>
        <v>200</v>
      </c>
      <c r="H21" s="6">
        <f>DATA!T47</f>
        <v>200</v>
      </c>
      <c r="I21" s="6">
        <f>DATA!U47</f>
        <v>200</v>
      </c>
      <c r="J21" s="6">
        <f>DATA!V47</f>
        <v>200</v>
      </c>
      <c r="K21" s="6">
        <f>DATA!W47</f>
        <v>200</v>
      </c>
      <c r="L21" s="6">
        <f>DATA!X47</f>
        <v>200</v>
      </c>
      <c r="M21" s="6">
        <f>DATA!Y47</f>
        <v>200</v>
      </c>
      <c r="N21" s="7">
        <f t="shared" si="4"/>
        <v>2400</v>
      </c>
    </row>
    <row r="22" spans="1:14" x14ac:dyDescent="0.25">
      <c r="A22" t="str">
        <f>DATA!A48</f>
        <v>Repair and Maintenance</v>
      </c>
      <c r="B22" s="6">
        <f>DATA!N48</f>
        <v>1408.5312876649623</v>
      </c>
      <c r="C22" s="6">
        <f>DATA!O48</f>
        <v>1422.6166005416119</v>
      </c>
      <c r="D22" s="6">
        <f>DATA!P48</f>
        <v>1436.8427665470281</v>
      </c>
      <c r="E22" s="6">
        <f>DATA!Q48</f>
        <v>1451.2111942124984</v>
      </c>
      <c r="F22" s="6">
        <f>DATA!R48</f>
        <v>1465.7233061546235</v>
      </c>
      <c r="G22" s="6">
        <f>DATA!S48</f>
        <v>1480.3805392161698</v>
      </c>
      <c r="H22" s="6">
        <f>DATA!T48</f>
        <v>1495.1843446083315</v>
      </c>
      <c r="I22" s="6">
        <f>DATA!U48</f>
        <v>1510.1361880544148</v>
      </c>
      <c r="J22" s="6">
        <f>DATA!V48</f>
        <v>1525.2375499349589</v>
      </c>
      <c r="K22" s="6">
        <f>DATA!W48</f>
        <v>1540.4899254343086</v>
      </c>
      <c r="L22" s="6">
        <f>DATA!X48</f>
        <v>1555.8948246886516</v>
      </c>
      <c r="M22" s="6">
        <f>DATA!Y48</f>
        <v>1571.4537729355382</v>
      </c>
      <c r="N22" s="7">
        <f t="shared" si="4"/>
        <v>17863.7022999931</v>
      </c>
    </row>
    <row r="23" spans="1:14" x14ac:dyDescent="0.25">
      <c r="A23" t="str">
        <f>DATA!A50</f>
        <v>Tractor Trailer Notes</v>
      </c>
      <c r="B23" s="6">
        <f>DATA!N50</f>
        <v>6939.91</v>
      </c>
      <c r="C23" s="6">
        <f>DATA!O50</f>
        <v>6939.91</v>
      </c>
      <c r="D23" s="6">
        <f>DATA!P50</f>
        <v>6939.91</v>
      </c>
      <c r="E23" s="6">
        <f>DATA!Q50</f>
        <v>6939.91</v>
      </c>
      <c r="F23" s="6">
        <f>DATA!R50</f>
        <v>6939.91</v>
      </c>
      <c r="G23" s="6">
        <f>DATA!S50</f>
        <v>6939.91</v>
      </c>
      <c r="H23" s="6">
        <f>DATA!T50</f>
        <v>6939.91</v>
      </c>
      <c r="I23" s="6">
        <f>DATA!U50</f>
        <v>6939.91</v>
      </c>
      <c r="J23" s="6">
        <f>DATA!V50</f>
        <v>6939.91</v>
      </c>
      <c r="K23" s="6">
        <f>DATA!W50</f>
        <v>6939.91</v>
      </c>
      <c r="L23" s="6">
        <f>DATA!X50</f>
        <v>6939.91</v>
      </c>
      <c r="M23" s="6">
        <f>DATA!Y50</f>
        <v>6939.91</v>
      </c>
      <c r="N23" s="7">
        <f t="shared" si="4"/>
        <v>83278.920000000027</v>
      </c>
    </row>
    <row r="24" spans="1:14" x14ac:dyDescent="0.25">
      <c r="A24" t="str">
        <f>DATA!A51</f>
        <v>Permits, Licenses, and Fuel Tax</v>
      </c>
      <c r="B24" s="6">
        <f>DATA!N51</f>
        <v>100</v>
      </c>
      <c r="C24" s="6">
        <f>DATA!O51</f>
        <v>100</v>
      </c>
      <c r="D24" s="6">
        <f>DATA!P51</f>
        <v>100</v>
      </c>
      <c r="E24" s="6">
        <f>DATA!Q51</f>
        <v>100</v>
      </c>
      <c r="F24" s="6">
        <f>DATA!R51</f>
        <v>100</v>
      </c>
      <c r="G24" s="6">
        <f>DATA!S51</f>
        <v>100</v>
      </c>
      <c r="H24" s="6">
        <f>DATA!T51</f>
        <v>100</v>
      </c>
      <c r="I24" s="6">
        <f>DATA!U51</f>
        <v>100</v>
      </c>
      <c r="J24" s="6">
        <f>DATA!V51</f>
        <v>100</v>
      </c>
      <c r="K24" s="6">
        <f>DATA!W51</f>
        <v>100</v>
      </c>
      <c r="L24" s="6">
        <f>DATA!X51</f>
        <v>100</v>
      </c>
      <c r="M24" s="6">
        <f>DATA!Y51</f>
        <v>100</v>
      </c>
      <c r="N24" s="7">
        <f t="shared" si="4"/>
        <v>1200</v>
      </c>
    </row>
    <row r="25" spans="1:14" x14ac:dyDescent="0.25">
      <c r="A25" t="str">
        <f>DATA!A52</f>
        <v>Office, Admin, and Communication</v>
      </c>
      <c r="B25" s="6">
        <f>DATA!N52</f>
        <v>416.67</v>
      </c>
      <c r="C25" s="6">
        <f>DATA!O52</f>
        <v>416.67</v>
      </c>
      <c r="D25" s="6">
        <f>DATA!P52</f>
        <v>416.67</v>
      </c>
      <c r="E25" s="6">
        <f>DATA!Q52</f>
        <v>416.67</v>
      </c>
      <c r="F25" s="6">
        <f>DATA!R52</f>
        <v>416.67</v>
      </c>
      <c r="G25" s="6">
        <f>DATA!S52</f>
        <v>416.67</v>
      </c>
      <c r="H25" s="6">
        <f>DATA!T52</f>
        <v>416.67</v>
      </c>
      <c r="I25" s="6">
        <f>DATA!U52</f>
        <v>416.67</v>
      </c>
      <c r="J25" s="6">
        <f>DATA!V52</f>
        <v>416.67</v>
      </c>
      <c r="K25" s="6">
        <f>DATA!W52</f>
        <v>416.67</v>
      </c>
      <c r="L25" s="6">
        <f>DATA!X52</f>
        <v>416.67</v>
      </c>
      <c r="M25" s="6">
        <f>DATA!Y52</f>
        <v>416.67</v>
      </c>
      <c r="N25" s="7">
        <f t="shared" si="4"/>
        <v>5000.04</v>
      </c>
    </row>
    <row r="26" spans="1:14" x14ac:dyDescent="0.25">
      <c r="A26" t="str">
        <f>DATA!A53</f>
        <v>Professional Service Fees (CPA, Legal, etc)</v>
      </c>
      <c r="B26" s="6">
        <f>DATA!N53</f>
        <v>250</v>
      </c>
      <c r="C26" s="6">
        <f>DATA!O53</f>
        <v>250</v>
      </c>
      <c r="D26" s="6">
        <f>DATA!P53</f>
        <v>250</v>
      </c>
      <c r="E26" s="6">
        <f>DATA!Q53</f>
        <v>250</v>
      </c>
      <c r="F26" s="6">
        <f>DATA!R53</f>
        <v>250</v>
      </c>
      <c r="G26" s="6">
        <f>DATA!S53</f>
        <v>250</v>
      </c>
      <c r="H26" s="6">
        <f>DATA!T53</f>
        <v>250</v>
      </c>
      <c r="I26" s="6">
        <f>DATA!U53</f>
        <v>250</v>
      </c>
      <c r="J26" s="6">
        <f>DATA!V53</f>
        <v>250</v>
      </c>
      <c r="K26" s="6">
        <f>DATA!W53</f>
        <v>250</v>
      </c>
      <c r="L26" s="6">
        <f>DATA!X53</f>
        <v>250</v>
      </c>
      <c r="M26" s="6">
        <f>DATA!Y53</f>
        <v>250</v>
      </c>
      <c r="N26" s="7">
        <f t="shared" si="4"/>
        <v>3000</v>
      </c>
    </row>
    <row r="27" spans="1:14" x14ac:dyDescent="0.25">
      <c r="A27" t="str">
        <f>DATA!A54</f>
        <v>Reserve for Unforseen Expenses</v>
      </c>
      <c r="B27" s="6">
        <f>DATA!B54</f>
        <v>10000</v>
      </c>
      <c r="C27" s="6">
        <f>DATA!C54</f>
        <v>0</v>
      </c>
      <c r="D27" s="6">
        <f>DATA!D54</f>
        <v>0</v>
      </c>
      <c r="E27" s="6">
        <f>DATA!E54</f>
        <v>0</v>
      </c>
      <c r="F27" s="6">
        <f>DATA!F54</f>
        <v>0</v>
      </c>
      <c r="G27" s="6">
        <f>DATA!G54</f>
        <v>0</v>
      </c>
      <c r="H27" s="6">
        <f>DATA!H54</f>
        <v>0</v>
      </c>
      <c r="I27" s="6">
        <f>DATA!I54</f>
        <v>0</v>
      </c>
      <c r="J27" s="6">
        <f>DATA!J54</f>
        <v>0</v>
      </c>
      <c r="K27" s="6">
        <f>DATA!K54</f>
        <v>0</v>
      </c>
      <c r="L27" s="6">
        <f>DATA!L54</f>
        <v>0</v>
      </c>
      <c r="M27" s="6">
        <f>DATA!M54</f>
        <v>0</v>
      </c>
      <c r="N27" s="7">
        <f t="shared" si="4"/>
        <v>10000</v>
      </c>
    </row>
    <row r="28" spans="1:14" x14ac:dyDescent="0.25">
      <c r="A28" t="s">
        <v>56</v>
      </c>
      <c r="B28" s="6">
        <f>LoanModule!D21</f>
        <v>1937.9730951969868</v>
      </c>
      <c r="C28" s="6">
        <f>LoanModule!D22</f>
        <v>1903.5813291586683</v>
      </c>
      <c r="D28" s="6">
        <f>LoanModule!D23</f>
        <v>1868.9602846800944</v>
      </c>
      <c r="E28" s="6">
        <f>LoanModule!D24</f>
        <v>1834.1084332383298</v>
      </c>
      <c r="F28" s="6">
        <f>LoanModule!D25</f>
        <v>1799.0242361202866</v>
      </c>
      <c r="G28" s="6">
        <f>LoanModule!D26</f>
        <v>1763.70614435479</v>
      </c>
      <c r="H28" s="6">
        <f>LoanModule!D27</f>
        <v>1728.15259864419</v>
      </c>
      <c r="I28" s="6">
        <f>LoanModule!D28</f>
        <v>1692.3620292955193</v>
      </c>
      <c r="J28" s="6">
        <f>LoanModule!D29</f>
        <v>1656.3328561511908</v>
      </c>
      <c r="K28" s="6">
        <f>LoanModule!D30</f>
        <v>1620.0634885192337</v>
      </c>
      <c r="L28" s="6">
        <f>LoanModule!D31</f>
        <v>1583.5523251030629</v>
      </c>
      <c r="M28" s="6">
        <f>LoanModule!D32</f>
        <v>1546.7977539307849</v>
      </c>
      <c r="N28" s="7">
        <f t="shared" si="4"/>
        <v>20934.614574393141</v>
      </c>
    </row>
    <row r="29" spans="1:14" x14ac:dyDescent="0.25">
      <c r="A29" t="s">
        <v>57</v>
      </c>
      <c r="B29" s="6">
        <f>DATA!B56*DATA!N61</f>
        <v>0</v>
      </c>
      <c r="C29" s="6">
        <f>DATA!B56*DATA!O61</f>
        <v>0</v>
      </c>
      <c r="D29" s="6">
        <f>DATA!B56*DATA!P61</f>
        <v>0</v>
      </c>
      <c r="E29" s="6">
        <f>DATA!B56*DATA!Q61</f>
        <v>0</v>
      </c>
      <c r="F29" s="6">
        <f>DATA!B56*DATA!R61</f>
        <v>0</v>
      </c>
      <c r="G29" s="6">
        <f>DATA!B56*DATA!S61</f>
        <v>0</v>
      </c>
      <c r="H29" s="6">
        <f>DATA!B56*DATA!T61</f>
        <v>0</v>
      </c>
      <c r="I29" s="6">
        <f>DATA!B56*DATA!U61</f>
        <v>0</v>
      </c>
      <c r="J29" s="6">
        <f>DATA!B56*DATA!V61</f>
        <v>0</v>
      </c>
      <c r="K29" s="6">
        <f>DATA!B56*DATA!W61</f>
        <v>0</v>
      </c>
      <c r="L29" s="6">
        <f>DATA!B56*DATA!X61</f>
        <v>0</v>
      </c>
      <c r="M29" s="6">
        <f>DATA!B56*DATA!Y61</f>
        <v>0</v>
      </c>
      <c r="N29" s="7">
        <f t="shared" si="4"/>
        <v>0</v>
      </c>
    </row>
    <row r="30" spans="1:14" x14ac:dyDescent="0.25">
      <c r="A30" t="s">
        <v>58</v>
      </c>
      <c r="B30" s="6">
        <f>DATA!N65</f>
        <v>2625</v>
      </c>
      <c r="C30" s="6">
        <f>DATA!O65</f>
        <v>2625</v>
      </c>
      <c r="D30" s="6">
        <f>DATA!P65</f>
        <v>2625</v>
      </c>
      <c r="E30" s="6">
        <f>DATA!Q65</f>
        <v>2625</v>
      </c>
      <c r="F30" s="6">
        <f>DATA!R65</f>
        <v>2625</v>
      </c>
      <c r="G30" s="6">
        <f>DATA!S65</f>
        <v>2625</v>
      </c>
      <c r="H30" s="6">
        <f>DATA!T65</f>
        <v>2625</v>
      </c>
      <c r="I30" s="6">
        <f>DATA!U65</f>
        <v>2625</v>
      </c>
      <c r="J30" s="6">
        <f>DATA!V65</f>
        <v>2625</v>
      </c>
      <c r="K30" s="6">
        <f>DATA!W65</f>
        <v>2625</v>
      </c>
      <c r="L30" s="6">
        <f>DATA!X65</f>
        <v>2625</v>
      </c>
      <c r="M30" s="6">
        <f>DATA!Y65</f>
        <v>2625</v>
      </c>
      <c r="N30" s="7">
        <f t="shared" si="4"/>
        <v>31500</v>
      </c>
    </row>
    <row r="31" spans="1:14" x14ac:dyDescent="0.25">
      <c r="A31" s="4" t="s">
        <v>59</v>
      </c>
      <c r="B31" s="8">
        <f t="shared" ref="B31:M31" si="5">SUM(B18:B30)</f>
        <v>26858.343213772361</v>
      </c>
      <c r="C31" s="8">
        <f t="shared" si="5"/>
        <v>16810.63417230159</v>
      </c>
      <c r="D31" s="8">
        <f t="shared" si="5"/>
        <v>16763.110731402419</v>
      </c>
      <c r="E31" s="8">
        <f t="shared" si="5"/>
        <v>16715.770030824373</v>
      </c>
      <c r="F31" s="8">
        <f t="shared" si="5"/>
        <v>16668.609241614718</v>
      </c>
      <c r="G31" s="8">
        <f t="shared" si="5"/>
        <v>16621.625565917369</v>
      </c>
      <c r="H31" s="8">
        <f t="shared" si="5"/>
        <v>16574.816236775467</v>
      </c>
      <c r="I31" s="8">
        <f t="shared" si="5"/>
        <v>16528.178517937649</v>
      </c>
      <c r="J31" s="8">
        <f t="shared" si="5"/>
        <v>16481.709703667988</v>
      </c>
      <c r="K31" s="8">
        <f t="shared" si="5"/>
        <v>16435.40711855956</v>
      </c>
      <c r="L31" s="8">
        <f t="shared" si="5"/>
        <v>16389.268117351676</v>
      </c>
      <c r="M31" s="8">
        <f t="shared" si="5"/>
        <v>16343.290084750683</v>
      </c>
      <c r="N31" s="8">
        <f t="shared" si="4"/>
        <v>209190.76273487584</v>
      </c>
    </row>
    <row r="33" spans="1:14" x14ac:dyDescent="0.25">
      <c r="A33" s="4" t="s">
        <v>60</v>
      </c>
      <c r="B33" s="10">
        <f t="shared" ref="B33:M33" si="6">B14-B31</f>
        <v>1748.469675343742</v>
      </c>
      <c r="C33" s="10">
        <f t="shared" si="6"/>
        <v>11850.663047852042</v>
      </c>
      <c r="D33" s="10">
        <f t="shared" si="6"/>
        <v>11952.761082289049</v>
      </c>
      <c r="E33" s="10">
        <f t="shared" si="6"/>
        <v>12054.766752687556</v>
      </c>
      <c r="F33" s="10">
        <f t="shared" si="6"/>
        <v>12156.683001799025</v>
      </c>
      <c r="G33" s="10">
        <f t="shared" si="6"/>
        <v>12258.512741294126</v>
      </c>
      <c r="H33" s="10">
        <f t="shared" si="6"/>
        <v>12360.258851959486</v>
      </c>
      <c r="I33" s="10">
        <f t="shared" si="6"/>
        <v>12461.924183890838</v>
      </c>
      <c r="J33" s="10">
        <f t="shared" si="6"/>
        <v>12563.511556682457</v>
      </c>
      <c r="K33" s="10">
        <f t="shared" si="6"/>
        <v>12665.023759612915</v>
      </c>
      <c r="L33" s="10">
        <f t="shared" si="6"/>
        <v>12766.463551827317</v>
      </c>
      <c r="M33" s="10">
        <f t="shared" si="6"/>
        <v>12867.83366251579</v>
      </c>
      <c r="N33" s="10">
        <f>SUM(B33:M33)</f>
        <v>137706.87186775432</v>
      </c>
    </row>
    <row r="35" spans="1:14" x14ac:dyDescent="0.25">
      <c r="A35" t="s">
        <v>61</v>
      </c>
      <c r="B35" s="6">
        <f>N35/12</f>
        <v>1721.3358983469288</v>
      </c>
      <c r="C35" s="6">
        <f>N35/12</f>
        <v>1721.3358983469288</v>
      </c>
      <c r="D35" s="6">
        <f>N35/12</f>
        <v>1721.3358983469288</v>
      </c>
      <c r="E35" s="6">
        <f>N35/12</f>
        <v>1721.3358983469288</v>
      </c>
      <c r="F35" s="6">
        <f>N35/12</f>
        <v>1721.3358983469288</v>
      </c>
      <c r="G35" s="6">
        <f>N35/12</f>
        <v>1721.3358983469288</v>
      </c>
      <c r="H35" s="6">
        <f>N35/12</f>
        <v>1721.3358983469288</v>
      </c>
      <c r="I35" s="6">
        <f>N35/12</f>
        <v>1721.3358983469288</v>
      </c>
      <c r="J35" s="6">
        <f>N35/12</f>
        <v>1721.3358983469288</v>
      </c>
      <c r="K35" s="6">
        <f>N35/12</f>
        <v>1721.3358983469288</v>
      </c>
      <c r="L35" s="6">
        <f>N35/12</f>
        <v>1721.3358983469288</v>
      </c>
      <c r="M35" s="6">
        <f>N35/12</f>
        <v>1721.3358983469288</v>
      </c>
      <c r="N35" s="7">
        <f>IF(N33&lt;=0,0,N33*DATA!B57)</f>
        <v>20656.030780163146</v>
      </c>
    </row>
    <row r="37" spans="1:14" x14ac:dyDescent="0.25">
      <c r="A37" s="4" t="s">
        <v>62</v>
      </c>
      <c r="B37" s="9">
        <f t="shared" ref="B37:M37" si="7">B33-B35</f>
        <v>27.13377699681314</v>
      </c>
      <c r="C37" s="9">
        <f t="shared" si="7"/>
        <v>10129.327149505112</v>
      </c>
      <c r="D37" s="9">
        <f t="shared" si="7"/>
        <v>10231.425183942119</v>
      </c>
      <c r="E37" s="9">
        <f t="shared" si="7"/>
        <v>10333.430854340626</v>
      </c>
      <c r="F37" s="9">
        <f t="shared" si="7"/>
        <v>10435.347103452095</v>
      </c>
      <c r="G37" s="9">
        <f t="shared" si="7"/>
        <v>10537.176842947196</v>
      </c>
      <c r="H37" s="9">
        <f t="shared" si="7"/>
        <v>10638.922953612557</v>
      </c>
      <c r="I37" s="9">
        <f t="shared" si="7"/>
        <v>10740.588285543909</v>
      </c>
      <c r="J37" s="9">
        <f t="shared" si="7"/>
        <v>10842.175658335527</v>
      </c>
      <c r="K37" s="9">
        <f t="shared" si="7"/>
        <v>10943.687861265986</v>
      </c>
      <c r="L37" s="9">
        <f t="shared" si="7"/>
        <v>11045.127653480387</v>
      </c>
      <c r="M37" s="9">
        <f t="shared" si="7"/>
        <v>11146.49776416886</v>
      </c>
      <c r="N37" s="9">
        <f>SUM(B37:M37)</f>
        <v>117050.84108759119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" workbookViewId="0">
      <selection activeCell="A11" sqref="A11"/>
    </sheetView>
  </sheetViews>
  <sheetFormatPr defaultColWidth="8.85546875" defaultRowHeight="15" x14ac:dyDescent="0.25"/>
  <cols>
    <col min="1" max="1" width="31.710937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49</v>
      </c>
    </row>
    <row r="3" spans="1:14" x14ac:dyDescent="0.25">
      <c r="A3" t="s">
        <v>65</v>
      </c>
    </row>
    <row r="5" spans="1:14" x14ac:dyDescent="0.25">
      <c r="A5" t="s">
        <v>15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65</v>
      </c>
    </row>
    <row r="6" spans="1:14" x14ac:dyDescent="0.25">
      <c r="A6" s="4" t="s">
        <v>51</v>
      </c>
    </row>
    <row r="7" spans="1:14" x14ac:dyDescent="0.25">
      <c r="A7" t="str">
        <f>SUBSTITUTE(DATA!A26,"Days to Get Paid","",1)</f>
        <v>Sales</v>
      </c>
      <c r="B7" s="6">
        <f>DATA!Z67</f>
        <v>42805.136086029481</v>
      </c>
      <c r="C7" s="6">
        <f>DATA!AA67</f>
        <v>42890.78916333762</v>
      </c>
      <c r="D7" s="6">
        <f>DATA!AB67</f>
        <v>42976.613632453453</v>
      </c>
      <c r="E7" s="6">
        <f>DATA!AC67</f>
        <v>43062.609836331991</v>
      </c>
      <c r="F7" s="6">
        <f>DATA!AD67</f>
        <v>43148.778118614478</v>
      </c>
      <c r="G7" s="6">
        <f>DATA!AE67</f>
        <v>43235.118823629819</v>
      </c>
      <c r="H7" s="6">
        <f>DATA!AF67</f>
        <v>43321.632296395896</v>
      </c>
      <c r="I7" s="6">
        <f>DATA!AG67</f>
        <v>43408.318882620966</v>
      </c>
      <c r="J7" s="6">
        <f>DATA!AH67</f>
        <v>43495.178928705085</v>
      </c>
      <c r="K7" s="6">
        <f>DATA!AI67</f>
        <v>43582.212781741415</v>
      </c>
      <c r="L7" s="6">
        <f>DATA!AJ67</f>
        <v>43669.420789517666</v>
      </c>
      <c r="M7" s="6">
        <f>DATA!AK67</f>
        <v>43756.80330051748</v>
      </c>
      <c r="N7" s="7">
        <f>SUM(B7:M7)</f>
        <v>519352.61263989541</v>
      </c>
    </row>
    <row r="8" spans="1:14" x14ac:dyDescent="0.25">
      <c r="A8" s="4" t="s">
        <v>52</v>
      </c>
      <c r="B8" s="9">
        <f t="shared" ref="B8:M8" si="0">SUM(B7:B7)</f>
        <v>42805.136086029481</v>
      </c>
      <c r="C8" s="9">
        <f t="shared" si="0"/>
        <v>42890.78916333762</v>
      </c>
      <c r="D8" s="9">
        <f t="shared" si="0"/>
        <v>42976.613632453453</v>
      </c>
      <c r="E8" s="9">
        <f t="shared" si="0"/>
        <v>43062.609836331991</v>
      </c>
      <c r="F8" s="9">
        <f t="shared" si="0"/>
        <v>43148.778118614478</v>
      </c>
      <c r="G8" s="9">
        <f t="shared" si="0"/>
        <v>43235.118823629819</v>
      </c>
      <c r="H8" s="9">
        <f t="shared" si="0"/>
        <v>43321.632296395896</v>
      </c>
      <c r="I8" s="9">
        <f t="shared" si="0"/>
        <v>43408.318882620966</v>
      </c>
      <c r="J8" s="9">
        <f t="shared" si="0"/>
        <v>43495.178928705085</v>
      </c>
      <c r="K8" s="9">
        <f t="shared" si="0"/>
        <v>43582.212781741415</v>
      </c>
      <c r="L8" s="9">
        <f t="shared" si="0"/>
        <v>43669.420789517666</v>
      </c>
      <c r="M8" s="9">
        <f t="shared" si="0"/>
        <v>43756.80330051748</v>
      </c>
      <c r="N8" s="9">
        <f>SUM(B8:M8)</f>
        <v>519352.61263989541</v>
      </c>
    </row>
    <row r="10" spans="1:14" x14ac:dyDescent="0.25">
      <c r="A10" t="s">
        <v>127</v>
      </c>
      <c r="B10" s="6">
        <f>DATA!Z62</f>
        <v>8253.2542007964712</v>
      </c>
      <c r="C10" s="6">
        <f>DATA!AA62</f>
        <v>8278.0470094617267</v>
      </c>
      <c r="D10" s="6">
        <f>DATA!AB62</f>
        <v>8302.9142958234806</v>
      </c>
      <c r="E10" s="6">
        <f>DATA!AC62</f>
        <v>8327.856283613035</v>
      </c>
      <c r="F10" s="6">
        <f>DATA!AD62</f>
        <v>8352.8731972337755</v>
      </c>
      <c r="G10" s="6">
        <f>DATA!AE62</f>
        <v>8377.9652617632019</v>
      </c>
      <c r="H10" s="6">
        <f>DATA!AF62</f>
        <v>8403.1327029549429</v>
      </c>
      <c r="I10" s="6">
        <f>DATA!AG62</f>
        <v>8428.3757472407942</v>
      </c>
      <c r="J10" s="6">
        <f>DATA!AH62</f>
        <v>8453.694621732755</v>
      </c>
      <c r="K10" s="6">
        <f>DATA!AI62</f>
        <v>8479.0895542250673</v>
      </c>
      <c r="L10" s="6">
        <f>DATA!AJ62</f>
        <v>8504.5607731962646</v>
      </c>
      <c r="M10" s="6">
        <f>DATA!AK62</f>
        <v>8530.108507811241</v>
      </c>
      <c r="N10" s="7">
        <f>SUM(B10:M10)</f>
        <v>100691.87215585275</v>
      </c>
    </row>
    <row r="11" spans="1:14" x14ac:dyDescent="0.25">
      <c r="A11" t="s">
        <v>136</v>
      </c>
      <c r="B11" s="6">
        <f>DATA!Z63</f>
        <v>5408.1880230503994</v>
      </c>
      <c r="C11" s="6">
        <f>DATA!AA63</f>
        <v>5413.596211073449</v>
      </c>
      <c r="D11" s="6">
        <f>DATA!AB63</f>
        <v>5419.0098072845221</v>
      </c>
      <c r="E11" s="6">
        <f>DATA!AC63</f>
        <v>5424.4288170918071</v>
      </c>
      <c r="F11" s="6">
        <f>DATA!AD63</f>
        <v>5429.8532459088974</v>
      </c>
      <c r="G11" s="6">
        <f>DATA!AE63</f>
        <v>5435.2830991548062</v>
      </c>
      <c r="H11" s="6">
        <f>DATA!AF63</f>
        <v>5440.71838225396</v>
      </c>
      <c r="I11" s="6">
        <f>DATA!AG63</f>
        <v>5446.1591006362132</v>
      </c>
      <c r="J11" s="6">
        <f>DATA!AH63</f>
        <v>5451.6052597368489</v>
      </c>
      <c r="K11" s="6">
        <f>DATA!AI63</f>
        <v>5457.0568649965853</v>
      </c>
      <c r="L11" s="6">
        <f>DATA!AJ63</f>
        <v>5462.5139218615814</v>
      </c>
      <c r="M11" s="6">
        <f>DATA!AK63</f>
        <v>5467.976435783442</v>
      </c>
      <c r="N11" s="7">
        <f>SUM(B11:M11)</f>
        <v>65256.389168832517</v>
      </c>
    </row>
    <row r="12" spans="1:14" x14ac:dyDescent="0.25">
      <c r="A12" s="4" t="s">
        <v>53</v>
      </c>
      <c r="B12" s="9">
        <f t="shared" ref="B12:M12" si="1">SUM(B10:B11)</f>
        <v>13661.442223846871</v>
      </c>
      <c r="C12" s="9">
        <f t="shared" si="1"/>
        <v>13691.643220535176</v>
      </c>
      <c r="D12" s="9">
        <f t="shared" si="1"/>
        <v>13721.924103108002</v>
      </c>
      <c r="E12" s="9">
        <f t="shared" si="1"/>
        <v>13752.285100704841</v>
      </c>
      <c r="F12" s="9">
        <f t="shared" si="1"/>
        <v>13782.726443142674</v>
      </c>
      <c r="G12" s="9">
        <f t="shared" si="1"/>
        <v>13813.248360918009</v>
      </c>
      <c r="H12" s="9">
        <f t="shared" si="1"/>
        <v>13843.851085208902</v>
      </c>
      <c r="I12" s="9">
        <f t="shared" si="1"/>
        <v>13874.534847877007</v>
      </c>
      <c r="J12" s="9">
        <f t="shared" si="1"/>
        <v>13905.299881469604</v>
      </c>
      <c r="K12" s="9">
        <f t="shared" si="1"/>
        <v>13936.146419221652</v>
      </c>
      <c r="L12" s="9">
        <f t="shared" si="1"/>
        <v>13967.074695057847</v>
      </c>
      <c r="M12" s="9">
        <f t="shared" si="1"/>
        <v>13998.084943594684</v>
      </c>
      <c r="N12" s="9">
        <f>SUM(B12:M12)</f>
        <v>165948.26132468524</v>
      </c>
    </row>
    <row r="14" spans="1:14" x14ac:dyDescent="0.25">
      <c r="A14" s="4" t="s">
        <v>54</v>
      </c>
      <c r="B14" s="10">
        <f t="shared" ref="B14:M14" si="2">B8-B12</f>
        <v>29143.693862182612</v>
      </c>
      <c r="C14" s="10">
        <f t="shared" si="2"/>
        <v>29199.145942802446</v>
      </c>
      <c r="D14" s="10">
        <f t="shared" si="2"/>
        <v>29254.689529345451</v>
      </c>
      <c r="E14" s="10">
        <f t="shared" si="2"/>
        <v>29310.324735627149</v>
      </c>
      <c r="F14" s="10">
        <f t="shared" si="2"/>
        <v>29366.051675471805</v>
      </c>
      <c r="G14" s="10">
        <f t="shared" si="2"/>
        <v>29421.87046271181</v>
      </c>
      <c r="H14" s="10">
        <f t="shared" si="2"/>
        <v>29477.781211186993</v>
      </c>
      <c r="I14" s="10">
        <f t="shared" si="2"/>
        <v>29533.78403474396</v>
      </c>
      <c r="J14" s="10">
        <f t="shared" si="2"/>
        <v>29589.879047235481</v>
      </c>
      <c r="K14" s="10">
        <f t="shared" si="2"/>
        <v>29646.066362519763</v>
      </c>
      <c r="L14" s="10">
        <f t="shared" si="2"/>
        <v>29702.346094459819</v>
      </c>
      <c r="M14" s="10">
        <f t="shared" si="2"/>
        <v>29758.718356922796</v>
      </c>
      <c r="N14" s="10">
        <f>SUM(B14:M14)</f>
        <v>353404.35131521005</v>
      </c>
    </row>
    <row r="15" spans="1:14" x14ac:dyDescent="0.25">
      <c r="A15" t="s">
        <v>55</v>
      </c>
      <c r="B15" s="2">
        <f t="shared" ref="B15:N15" si="3">IF(B8=0,0,B14/B8)</f>
        <v>0.6808457238311264</v>
      </c>
      <c r="C15" s="2">
        <f t="shared" si="3"/>
        <v>0.68077893907723719</v>
      </c>
      <c r="D15" s="2">
        <f t="shared" si="3"/>
        <v>0.68071183503518295</v>
      </c>
      <c r="E15" s="2">
        <f t="shared" si="3"/>
        <v>0.68064441163754041</v>
      </c>
      <c r="F15" s="2">
        <f t="shared" si="3"/>
        <v>0.68057666881656664</v>
      </c>
      <c r="G15" s="2">
        <f t="shared" si="3"/>
        <v>0.68050860650419942</v>
      </c>
      <c r="H15" s="2">
        <f t="shared" si="3"/>
        <v>0.68044022463205689</v>
      </c>
      <c r="I15" s="2">
        <f t="shared" si="3"/>
        <v>0.68037152313143734</v>
      </c>
      <c r="J15" s="2">
        <f t="shared" si="3"/>
        <v>0.68030250193331976</v>
      </c>
      <c r="K15" s="2">
        <f t="shared" si="3"/>
        <v>0.68023316096836317</v>
      </c>
      <c r="L15" s="2">
        <f t="shared" si="3"/>
        <v>0.68016350016690674</v>
      </c>
      <c r="M15" s="2">
        <f t="shared" si="3"/>
        <v>0.68009351945896979</v>
      </c>
      <c r="N15" s="11">
        <f t="shared" si="3"/>
        <v>0.68047092228695638</v>
      </c>
    </row>
    <row r="17" spans="1:14" x14ac:dyDescent="0.25">
      <c r="A17" s="4" t="s">
        <v>17</v>
      </c>
    </row>
    <row r="18" spans="1:14" x14ac:dyDescent="0.25">
      <c r="A18" t="str">
        <f>DATA!A43</f>
        <v>Salaries (Non Drivers)</v>
      </c>
      <c r="B18" s="6">
        <f>DATA!Z43</f>
        <v>0</v>
      </c>
      <c r="C18" s="6">
        <f>DATA!AA43</f>
        <v>0</v>
      </c>
      <c r="D18" s="6">
        <f>DATA!AB43</f>
        <v>0</v>
      </c>
      <c r="E18" s="6">
        <f>DATA!AC43</f>
        <v>0</v>
      </c>
      <c r="F18" s="6">
        <f>DATA!AD43</f>
        <v>0</v>
      </c>
      <c r="G18" s="6">
        <f>DATA!AE43</f>
        <v>0</v>
      </c>
      <c r="H18" s="6">
        <f>DATA!AF43</f>
        <v>0</v>
      </c>
      <c r="I18" s="6">
        <f>DATA!AG43</f>
        <v>0</v>
      </c>
      <c r="J18" s="6">
        <f>DATA!AH43</f>
        <v>0</v>
      </c>
      <c r="K18" s="6">
        <f>DATA!AI43</f>
        <v>0</v>
      </c>
      <c r="L18" s="6">
        <f>DATA!AJ43</f>
        <v>0</v>
      </c>
      <c r="M18" s="6">
        <f>DATA!AK43</f>
        <v>0</v>
      </c>
      <c r="N18" s="7">
        <f t="shared" ref="N18:N31" si="4">SUM(B18:M18)</f>
        <v>0</v>
      </c>
    </row>
    <row r="19" spans="1:14" x14ac:dyDescent="0.25">
      <c r="A19" t="str">
        <f>DATA!A44</f>
        <v>Insurance (Liability, Damage, and Cargo)</v>
      </c>
      <c r="B19" s="6">
        <f>DATA!Z44</f>
        <v>2428.9239723055171</v>
      </c>
      <c r="C19" s="6">
        <f>DATA!AA44</f>
        <v>2404.6347325824618</v>
      </c>
      <c r="D19" s="6">
        <f>DATA!AB44</f>
        <v>2380.5883852566371</v>
      </c>
      <c r="E19" s="6">
        <f>DATA!AC44</f>
        <v>2356.7825014040709</v>
      </c>
      <c r="F19" s="6">
        <f>DATA!AD44</f>
        <v>2333.21467639003</v>
      </c>
      <c r="G19" s="6">
        <f>DATA!AE44</f>
        <v>2309.8825296261298</v>
      </c>
      <c r="H19" s="6">
        <f>DATA!AF44</f>
        <v>2286.7837043298687</v>
      </c>
      <c r="I19" s="6">
        <f>DATA!AG44</f>
        <v>2263.9158672865701</v>
      </c>
      <c r="J19" s="6">
        <f>DATA!AH44</f>
        <v>2241.2767086137046</v>
      </c>
      <c r="K19" s="6">
        <f>DATA!AI44</f>
        <v>2218.8639415275675</v>
      </c>
      <c r="L19" s="6">
        <f>DATA!AJ44</f>
        <v>2196.6753021122918</v>
      </c>
      <c r="M19" s="6">
        <f>DATA!AK44</f>
        <v>2174.7085490911691</v>
      </c>
      <c r="N19" s="7">
        <f t="shared" si="4"/>
        <v>27596.250870526026</v>
      </c>
    </row>
    <row r="20" spans="1:14" x14ac:dyDescent="0.25">
      <c r="A20" t="str">
        <f>DATA!A46</f>
        <v>Toll Road Payment</v>
      </c>
      <c r="B20" s="6">
        <f>DATA!Z46</f>
        <v>240</v>
      </c>
      <c r="C20" s="6">
        <f>DATA!AA46</f>
        <v>240</v>
      </c>
      <c r="D20" s="6">
        <f>DATA!AB46</f>
        <v>240</v>
      </c>
      <c r="E20" s="6">
        <f>DATA!AC46</f>
        <v>240</v>
      </c>
      <c r="F20" s="6">
        <f>DATA!AD46</f>
        <v>240</v>
      </c>
      <c r="G20" s="6">
        <f>DATA!AE46</f>
        <v>240</v>
      </c>
      <c r="H20" s="6">
        <f>DATA!AF46</f>
        <v>240</v>
      </c>
      <c r="I20" s="6">
        <f>DATA!AG46</f>
        <v>240</v>
      </c>
      <c r="J20" s="6">
        <f>DATA!AH46</f>
        <v>240</v>
      </c>
      <c r="K20" s="6">
        <f>DATA!AI46</f>
        <v>240</v>
      </c>
      <c r="L20" s="6">
        <f>DATA!AJ46</f>
        <v>240</v>
      </c>
      <c r="M20" s="6">
        <f>DATA!AK46</f>
        <v>240</v>
      </c>
      <c r="N20" s="7">
        <f t="shared" si="4"/>
        <v>2880</v>
      </c>
    </row>
    <row r="21" spans="1:14" x14ac:dyDescent="0.25">
      <c r="A21" t="str">
        <f>DATA!A47</f>
        <v>Weight and Scale Fees</v>
      </c>
      <c r="B21" s="6">
        <f>DATA!Z47</f>
        <v>200</v>
      </c>
      <c r="C21" s="6">
        <f>DATA!AA47</f>
        <v>200</v>
      </c>
      <c r="D21" s="6">
        <f>DATA!AB47</f>
        <v>200</v>
      </c>
      <c r="E21" s="6">
        <f>DATA!AC47</f>
        <v>200</v>
      </c>
      <c r="F21" s="6">
        <f>DATA!AD47</f>
        <v>200</v>
      </c>
      <c r="G21" s="6">
        <f>DATA!AE47</f>
        <v>200</v>
      </c>
      <c r="H21" s="6">
        <f>DATA!AF47</f>
        <v>200</v>
      </c>
      <c r="I21" s="6">
        <f>DATA!AG47</f>
        <v>200</v>
      </c>
      <c r="J21" s="6">
        <f>DATA!AH47</f>
        <v>200</v>
      </c>
      <c r="K21" s="6">
        <f>DATA!AI47</f>
        <v>200</v>
      </c>
      <c r="L21" s="6">
        <f>DATA!AJ47</f>
        <v>200</v>
      </c>
      <c r="M21" s="6">
        <f>DATA!AK47</f>
        <v>200</v>
      </c>
      <c r="N21" s="7">
        <f t="shared" si="4"/>
        <v>2400</v>
      </c>
    </row>
    <row r="22" spans="1:14" x14ac:dyDescent="0.25">
      <c r="A22" t="str">
        <f>DATA!A48</f>
        <v>Repair and Maintenance</v>
      </c>
      <c r="B22" s="6">
        <f>DATA!Z48</f>
        <v>1587.1683106648936</v>
      </c>
      <c r="C22" s="6">
        <f>DATA!AA48</f>
        <v>1603.0399937715426</v>
      </c>
      <c r="D22" s="6">
        <f>DATA!AB48</f>
        <v>1619.070393709258</v>
      </c>
      <c r="E22" s="6">
        <f>DATA!AC48</f>
        <v>1635.2610976463507</v>
      </c>
      <c r="F22" s="6">
        <f>DATA!AD48</f>
        <v>1651.6137086228141</v>
      </c>
      <c r="G22" s="6">
        <f>DATA!AE48</f>
        <v>1668.1298457090422</v>
      </c>
      <c r="H22" s="6">
        <f>DATA!AF48</f>
        <v>1684.8111441661326</v>
      </c>
      <c r="I22" s="6">
        <f>DATA!AG48</f>
        <v>1701.659255607794</v>
      </c>
      <c r="J22" s="6">
        <f>DATA!AH48</f>
        <v>1718.6758481638719</v>
      </c>
      <c r="K22" s="6">
        <f>DATA!AI48</f>
        <v>1735.8626066455106</v>
      </c>
      <c r="L22" s="6">
        <f>DATA!AJ48</f>
        <v>1753.2212327119657</v>
      </c>
      <c r="M22" s="6">
        <f>DATA!AK48</f>
        <v>1770.7534450390854</v>
      </c>
      <c r="N22" s="7">
        <f t="shared" si="4"/>
        <v>20129.266882458262</v>
      </c>
    </row>
    <row r="23" spans="1:14" x14ac:dyDescent="0.25">
      <c r="A23" t="str">
        <f>DATA!A50</f>
        <v>Tractor Trailer Notes</v>
      </c>
      <c r="B23" s="6">
        <f>DATA!Z50</f>
        <v>6939.91</v>
      </c>
      <c r="C23" s="6">
        <f>DATA!AA50</f>
        <v>6939.91</v>
      </c>
      <c r="D23" s="6">
        <f>DATA!AB50</f>
        <v>6939.91</v>
      </c>
      <c r="E23" s="6">
        <f>DATA!AC50</f>
        <v>6939.91</v>
      </c>
      <c r="F23" s="6">
        <f>DATA!AD50</f>
        <v>6939.91</v>
      </c>
      <c r="G23" s="6">
        <f>DATA!AE50</f>
        <v>6939.91</v>
      </c>
      <c r="H23" s="6">
        <f>DATA!AF50</f>
        <v>6939.91</v>
      </c>
      <c r="I23" s="6">
        <f>DATA!AG50</f>
        <v>6939.91</v>
      </c>
      <c r="J23" s="6">
        <f>DATA!AH50</f>
        <v>6939.91</v>
      </c>
      <c r="K23" s="6">
        <f>DATA!AI50</f>
        <v>6939.91</v>
      </c>
      <c r="L23" s="6">
        <f>DATA!AJ50</f>
        <v>6939.91</v>
      </c>
      <c r="M23" s="6">
        <f>DATA!AK50</f>
        <v>6939.91</v>
      </c>
      <c r="N23" s="7">
        <f t="shared" si="4"/>
        <v>83278.920000000027</v>
      </c>
    </row>
    <row r="24" spans="1:14" x14ac:dyDescent="0.25">
      <c r="A24" t="str">
        <f>DATA!A51</f>
        <v>Permits, Licenses, and Fuel Tax</v>
      </c>
      <c r="B24" s="6">
        <f>DATA!Z51</f>
        <v>100</v>
      </c>
      <c r="C24" s="6">
        <f>DATA!AA51</f>
        <v>100</v>
      </c>
      <c r="D24" s="6">
        <f>DATA!AB51</f>
        <v>100</v>
      </c>
      <c r="E24" s="6">
        <f>DATA!AC51</f>
        <v>100</v>
      </c>
      <c r="F24" s="6">
        <f>DATA!AD51</f>
        <v>100</v>
      </c>
      <c r="G24" s="6">
        <f>DATA!AE51</f>
        <v>100</v>
      </c>
      <c r="H24" s="6">
        <f>DATA!AF51</f>
        <v>100</v>
      </c>
      <c r="I24" s="6">
        <f>DATA!AG51</f>
        <v>100</v>
      </c>
      <c r="J24" s="6">
        <f>DATA!AH51</f>
        <v>100</v>
      </c>
      <c r="K24" s="6">
        <f>DATA!AI51</f>
        <v>100</v>
      </c>
      <c r="L24" s="6">
        <f>DATA!AJ51</f>
        <v>100</v>
      </c>
      <c r="M24" s="6">
        <f>DATA!AK51</f>
        <v>100</v>
      </c>
      <c r="N24" s="7">
        <f t="shared" si="4"/>
        <v>1200</v>
      </c>
    </row>
    <row r="25" spans="1:14" x14ac:dyDescent="0.25">
      <c r="A25" t="str">
        <f>DATA!A52</f>
        <v>Office, Admin, and Communication</v>
      </c>
      <c r="B25" s="6">
        <f>DATA!Z52</f>
        <v>416.67</v>
      </c>
      <c r="C25" s="6">
        <f>DATA!AA52</f>
        <v>416.67</v>
      </c>
      <c r="D25" s="6">
        <f>DATA!AB52</f>
        <v>416.67</v>
      </c>
      <c r="E25" s="6">
        <f>DATA!AC52</f>
        <v>416.67</v>
      </c>
      <c r="F25" s="6">
        <f>DATA!AD52</f>
        <v>416.67</v>
      </c>
      <c r="G25" s="6">
        <f>DATA!AE52</f>
        <v>416.67</v>
      </c>
      <c r="H25" s="6">
        <f>DATA!AF52</f>
        <v>416.67</v>
      </c>
      <c r="I25" s="6">
        <f>DATA!AG52</f>
        <v>416.67</v>
      </c>
      <c r="J25" s="6">
        <f>DATA!AH52</f>
        <v>416.67</v>
      </c>
      <c r="K25" s="6">
        <f>DATA!AI52</f>
        <v>416.67</v>
      </c>
      <c r="L25" s="6">
        <f>DATA!AJ52</f>
        <v>416.67</v>
      </c>
      <c r="M25" s="6">
        <f>DATA!AK52</f>
        <v>416.67</v>
      </c>
      <c r="N25" s="7">
        <f t="shared" si="4"/>
        <v>5000.04</v>
      </c>
    </row>
    <row r="26" spans="1:14" x14ac:dyDescent="0.25">
      <c r="A26" t="str">
        <f>DATA!A53</f>
        <v>Professional Service Fees (CPA, Legal, etc)</v>
      </c>
      <c r="B26" s="6">
        <f>DATA!Z53</f>
        <v>250</v>
      </c>
      <c r="C26" s="6">
        <f>DATA!AA53</f>
        <v>250</v>
      </c>
      <c r="D26" s="6">
        <f>DATA!AB53</f>
        <v>250</v>
      </c>
      <c r="E26" s="6">
        <f>DATA!AC53</f>
        <v>250</v>
      </c>
      <c r="F26" s="6">
        <f>DATA!AD53</f>
        <v>250</v>
      </c>
      <c r="G26" s="6">
        <f>DATA!AE53</f>
        <v>250</v>
      </c>
      <c r="H26" s="6">
        <f>DATA!AF53</f>
        <v>250</v>
      </c>
      <c r="I26" s="6">
        <f>DATA!AG53</f>
        <v>250</v>
      </c>
      <c r="J26" s="6">
        <f>DATA!AH53</f>
        <v>250</v>
      </c>
      <c r="K26" s="6">
        <f>DATA!AI53</f>
        <v>250</v>
      </c>
      <c r="L26" s="6">
        <f>DATA!AJ53</f>
        <v>250</v>
      </c>
      <c r="M26" s="6">
        <f>DATA!AK53</f>
        <v>250</v>
      </c>
      <c r="N26" s="7">
        <f t="shared" si="4"/>
        <v>3000</v>
      </c>
    </row>
    <row r="27" spans="1:14" x14ac:dyDescent="0.25">
      <c r="A27" t="str">
        <f>DATA!A54</f>
        <v>Reserve for Unforseen Expenses</v>
      </c>
      <c r="B27" s="6">
        <f>DATA!B54</f>
        <v>10000</v>
      </c>
      <c r="C27" s="6">
        <f>DATA!C54</f>
        <v>0</v>
      </c>
      <c r="D27" s="6">
        <f>DATA!D54</f>
        <v>0</v>
      </c>
      <c r="E27" s="6">
        <f>DATA!E54</f>
        <v>0</v>
      </c>
      <c r="F27" s="6">
        <f>DATA!F54</f>
        <v>0</v>
      </c>
      <c r="G27" s="6">
        <f>DATA!G54</f>
        <v>0</v>
      </c>
      <c r="H27" s="6">
        <f>DATA!H54</f>
        <v>0</v>
      </c>
      <c r="I27" s="6">
        <f>DATA!I54</f>
        <v>0</v>
      </c>
      <c r="J27" s="6">
        <f>DATA!J54</f>
        <v>0</v>
      </c>
      <c r="K27" s="6">
        <f>DATA!K54</f>
        <v>0</v>
      </c>
      <c r="L27" s="6">
        <f>DATA!L54</f>
        <v>0</v>
      </c>
      <c r="M27" s="6">
        <f>DATA!M54</f>
        <v>0</v>
      </c>
      <c r="N27" s="7">
        <f t="shared" si="4"/>
        <v>10000</v>
      </c>
    </row>
    <row r="28" spans="1:14" x14ac:dyDescent="0.25">
      <c r="A28" t="s">
        <v>56</v>
      </c>
      <c r="B28" s="6">
        <f>LoanModule!D33</f>
        <v>1509.7981522840248</v>
      </c>
      <c r="C28" s="6">
        <f>LoanModule!D34</f>
        <v>1472.5518866262867</v>
      </c>
      <c r="D28" s="6">
        <f>LoanModule!D35</f>
        <v>1435.0573125308301</v>
      </c>
      <c r="E28" s="6">
        <f>LoanModule!D36</f>
        <v>1397.3127746080702</v>
      </c>
      <c r="F28" s="6">
        <f>LoanModule!D37</f>
        <v>1359.3166064324921</v>
      </c>
      <c r="G28" s="6">
        <f>LoanModule!D38</f>
        <v>1321.0671304690768</v>
      </c>
      <c r="H28" s="6">
        <f>LoanModule!D39</f>
        <v>1282.5626579992388</v>
      </c>
      <c r="I28" s="6">
        <f>LoanModule!D40</f>
        <v>1243.8014890462684</v>
      </c>
      <c r="J28" s="6">
        <f>LoanModule!D41</f>
        <v>1204.7819123002782</v>
      </c>
      <c r="K28" s="6">
        <f>LoanModule!D42</f>
        <v>1165.502205042648</v>
      </c>
      <c r="L28" s="6">
        <f>LoanModule!D43</f>
        <v>1125.9606330699671</v>
      </c>
      <c r="M28" s="6">
        <f>LoanModule!D44</f>
        <v>1086.1554506174682</v>
      </c>
      <c r="N28" s="7">
        <f t="shared" si="4"/>
        <v>15603.868211026653</v>
      </c>
    </row>
    <row r="29" spans="1:14" x14ac:dyDescent="0.25">
      <c r="A29" t="s">
        <v>57</v>
      </c>
      <c r="B29" s="6">
        <f>DATA!B56*DATA!Z61</f>
        <v>0</v>
      </c>
      <c r="C29" s="6">
        <f>DATA!B56*DATA!AA61</f>
        <v>0</v>
      </c>
      <c r="D29" s="6">
        <f>DATA!B56*DATA!AB61</f>
        <v>0</v>
      </c>
      <c r="E29" s="6">
        <f>DATA!B56*DATA!AC61</f>
        <v>0</v>
      </c>
      <c r="F29" s="6">
        <f>DATA!B56*DATA!AD61</f>
        <v>0</v>
      </c>
      <c r="G29" s="6">
        <f>DATA!B56*DATA!AE61</f>
        <v>0</v>
      </c>
      <c r="H29" s="6">
        <f>DATA!B56*DATA!AF61</f>
        <v>0</v>
      </c>
      <c r="I29" s="6">
        <f>DATA!B56*DATA!AG61</f>
        <v>0</v>
      </c>
      <c r="J29" s="6">
        <f>DATA!B56*DATA!AH61</f>
        <v>0</v>
      </c>
      <c r="K29" s="6">
        <f>DATA!B56*DATA!AI61</f>
        <v>0</v>
      </c>
      <c r="L29" s="6">
        <f>DATA!B56*DATA!AJ61</f>
        <v>0</v>
      </c>
      <c r="M29" s="6">
        <f>DATA!B56*DATA!AK61</f>
        <v>0</v>
      </c>
      <c r="N29" s="7">
        <f t="shared" si="4"/>
        <v>0</v>
      </c>
    </row>
    <row r="30" spans="1:14" x14ac:dyDescent="0.25">
      <c r="A30" t="s">
        <v>58</v>
      </c>
      <c r="B30" s="6">
        <f>DATA!Z65</f>
        <v>2625</v>
      </c>
      <c r="C30" s="6">
        <f>DATA!AA65</f>
        <v>2625</v>
      </c>
      <c r="D30" s="6">
        <f>DATA!AB65</f>
        <v>2625</v>
      </c>
      <c r="E30" s="6">
        <f>DATA!AC65</f>
        <v>2625</v>
      </c>
      <c r="F30" s="6">
        <f>DATA!AD65</f>
        <v>2625</v>
      </c>
      <c r="G30" s="6">
        <f>DATA!AE65</f>
        <v>2625</v>
      </c>
      <c r="H30" s="6">
        <f>DATA!AF65</f>
        <v>2625</v>
      </c>
      <c r="I30" s="6">
        <f>DATA!AG65</f>
        <v>2625</v>
      </c>
      <c r="J30" s="6">
        <f>DATA!AH65</f>
        <v>2625</v>
      </c>
      <c r="K30" s="6">
        <f>DATA!AI65</f>
        <v>2625</v>
      </c>
      <c r="L30" s="6">
        <f>DATA!AJ65</f>
        <v>2625</v>
      </c>
      <c r="M30" s="6">
        <f>DATA!AK65</f>
        <v>2625</v>
      </c>
      <c r="N30" s="7">
        <f t="shared" si="4"/>
        <v>31500</v>
      </c>
    </row>
    <row r="31" spans="1:14" x14ac:dyDescent="0.25">
      <c r="A31" s="4" t="s">
        <v>59</v>
      </c>
      <c r="B31" s="8">
        <f t="shared" ref="B31:M31" si="5">SUM(B18:B30)</f>
        <v>26297.470435254432</v>
      </c>
      <c r="C31" s="8">
        <f t="shared" si="5"/>
        <v>16251.806612980292</v>
      </c>
      <c r="D31" s="8">
        <f t="shared" si="5"/>
        <v>16206.296091496726</v>
      </c>
      <c r="E31" s="8">
        <f t="shared" si="5"/>
        <v>16160.936373658491</v>
      </c>
      <c r="F31" s="8">
        <f t="shared" si="5"/>
        <v>16115.724991445337</v>
      </c>
      <c r="G31" s="8">
        <f t="shared" si="5"/>
        <v>16070.659505804249</v>
      </c>
      <c r="H31" s="8">
        <f t="shared" si="5"/>
        <v>16025.737506495239</v>
      </c>
      <c r="I31" s="8">
        <f t="shared" si="5"/>
        <v>15980.956611940634</v>
      </c>
      <c r="J31" s="8">
        <f t="shared" si="5"/>
        <v>15936.314469077854</v>
      </c>
      <c r="K31" s="8">
        <f t="shared" si="5"/>
        <v>15891.808753215728</v>
      </c>
      <c r="L31" s="8">
        <f t="shared" si="5"/>
        <v>15847.437167894223</v>
      </c>
      <c r="M31" s="8">
        <f t="shared" si="5"/>
        <v>15803.197444747724</v>
      </c>
      <c r="N31" s="8">
        <f t="shared" si="4"/>
        <v>202588.34596401092</v>
      </c>
    </row>
    <row r="33" spans="1:14" x14ac:dyDescent="0.25">
      <c r="A33" s="4" t="s">
        <v>60</v>
      </c>
      <c r="B33" s="10">
        <f t="shared" ref="B33:M33" si="6">B14-B31</f>
        <v>2846.2234269281798</v>
      </c>
      <c r="C33" s="10">
        <f t="shared" si="6"/>
        <v>12947.339329822154</v>
      </c>
      <c r="D33" s="10">
        <f t="shared" si="6"/>
        <v>13048.393437848725</v>
      </c>
      <c r="E33" s="10">
        <f t="shared" si="6"/>
        <v>13149.388361968659</v>
      </c>
      <c r="F33" s="10">
        <f t="shared" si="6"/>
        <v>13250.326684026468</v>
      </c>
      <c r="G33" s="10">
        <f t="shared" si="6"/>
        <v>13351.21095690756</v>
      </c>
      <c r="H33" s="10">
        <f t="shared" si="6"/>
        <v>13452.043704691754</v>
      </c>
      <c r="I33" s="10">
        <f t="shared" si="6"/>
        <v>13552.827422803326</v>
      </c>
      <c r="J33" s="10">
        <f t="shared" si="6"/>
        <v>13653.564578157628</v>
      </c>
      <c r="K33" s="10">
        <f t="shared" si="6"/>
        <v>13754.257609304035</v>
      </c>
      <c r="L33" s="10">
        <f t="shared" si="6"/>
        <v>13854.908926565597</v>
      </c>
      <c r="M33" s="10">
        <f t="shared" si="6"/>
        <v>13955.520912175072</v>
      </c>
      <c r="N33" s="10">
        <f>SUM(B33:M33)</f>
        <v>150816.00535119916</v>
      </c>
    </row>
    <row r="35" spans="1:14" x14ac:dyDescent="0.25">
      <c r="A35" t="s">
        <v>61</v>
      </c>
      <c r="B35" s="6">
        <f>N35/12</f>
        <v>1885.2000668899893</v>
      </c>
      <c r="C35" s="6">
        <f>N35/12</f>
        <v>1885.2000668899893</v>
      </c>
      <c r="D35" s="6">
        <f>N35/12</f>
        <v>1885.2000668899893</v>
      </c>
      <c r="E35" s="6">
        <f>N35/12</f>
        <v>1885.2000668899893</v>
      </c>
      <c r="F35" s="6">
        <f>N35/12</f>
        <v>1885.2000668899893</v>
      </c>
      <c r="G35" s="6">
        <f>N35/12</f>
        <v>1885.2000668899893</v>
      </c>
      <c r="H35" s="6">
        <f>N35/12</f>
        <v>1885.2000668899893</v>
      </c>
      <c r="I35" s="6">
        <f>N35/12</f>
        <v>1885.2000668899893</v>
      </c>
      <c r="J35" s="6">
        <f>N35/12</f>
        <v>1885.2000668899893</v>
      </c>
      <c r="K35" s="6">
        <f>N35/12</f>
        <v>1885.2000668899893</v>
      </c>
      <c r="L35" s="6">
        <f>N35/12</f>
        <v>1885.2000668899893</v>
      </c>
      <c r="M35" s="6">
        <f>N35/12</f>
        <v>1885.2000668899893</v>
      </c>
      <c r="N35" s="7">
        <f>IF(N33&lt;=0,0,N33*DATA!B57)</f>
        <v>22622.400802679873</v>
      </c>
    </row>
    <row r="37" spans="1:14" x14ac:dyDescent="0.25">
      <c r="A37" s="4" t="s">
        <v>62</v>
      </c>
      <c r="B37" s="9">
        <f t="shared" ref="B37:M37" si="7">B33-B35</f>
        <v>961.0233600381905</v>
      </c>
      <c r="C37" s="9">
        <f t="shared" si="7"/>
        <v>11062.139262932165</v>
      </c>
      <c r="D37" s="9">
        <f t="shared" si="7"/>
        <v>11163.193370958736</v>
      </c>
      <c r="E37" s="9">
        <f t="shared" si="7"/>
        <v>11264.188295078669</v>
      </c>
      <c r="F37" s="9">
        <f t="shared" si="7"/>
        <v>11365.126617136479</v>
      </c>
      <c r="G37" s="9">
        <f t="shared" si="7"/>
        <v>11466.010890017571</v>
      </c>
      <c r="H37" s="9">
        <f t="shared" si="7"/>
        <v>11566.843637801765</v>
      </c>
      <c r="I37" s="9">
        <f t="shared" si="7"/>
        <v>11667.627355913337</v>
      </c>
      <c r="J37" s="9">
        <f t="shared" si="7"/>
        <v>11768.364511267639</v>
      </c>
      <c r="K37" s="9">
        <f t="shared" si="7"/>
        <v>11869.057542414046</v>
      </c>
      <c r="L37" s="9">
        <f t="shared" si="7"/>
        <v>11969.708859675608</v>
      </c>
      <c r="M37" s="9">
        <f t="shared" si="7"/>
        <v>12070.320845285083</v>
      </c>
      <c r="N37" s="9">
        <f>SUM(B37:M37)</f>
        <v>128193.60454851927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A12" sqref="A12"/>
    </sheetView>
  </sheetViews>
  <sheetFormatPr defaultColWidth="8.85546875" defaultRowHeight="15" x14ac:dyDescent="0.25"/>
  <cols>
    <col min="1" max="1" width="31.7109375" bestFit="1" customWidth="1"/>
    <col min="2" max="12" width="9.28515625" bestFit="1" customWidth="1"/>
    <col min="13" max="13" width="10.42578125" bestFit="1" customWidth="1"/>
    <col min="14" max="14" width="10.85546875" bestFit="1" customWidth="1"/>
  </cols>
  <sheetData>
    <row r="1" spans="1:14" x14ac:dyDescent="0.25">
      <c r="A1" t="str">
        <f>DATA!B1</f>
        <v>Example Trucking Company</v>
      </c>
    </row>
    <row r="2" spans="1:14" x14ac:dyDescent="0.25">
      <c r="A2" t="s">
        <v>49</v>
      </c>
    </row>
    <row r="3" spans="1:14" x14ac:dyDescent="0.25">
      <c r="A3" t="s">
        <v>120</v>
      </c>
    </row>
    <row r="5" spans="1:14" x14ac:dyDescent="0.25">
      <c r="A5" t="s">
        <v>15</v>
      </c>
      <c r="B5">
        <v>37</v>
      </c>
      <c r="C5">
        <v>38</v>
      </c>
      <c r="D5">
        <v>39</v>
      </c>
      <c r="E5">
        <v>40</v>
      </c>
      <c r="F5">
        <v>41</v>
      </c>
      <c r="G5">
        <v>42</v>
      </c>
      <c r="H5">
        <v>43</v>
      </c>
      <c r="I5">
        <v>44</v>
      </c>
      <c r="J5">
        <v>45</v>
      </c>
      <c r="K5">
        <v>46</v>
      </c>
      <c r="L5">
        <v>47</v>
      </c>
      <c r="M5">
        <v>48</v>
      </c>
      <c r="N5" s="23" t="s">
        <v>120</v>
      </c>
    </row>
    <row r="6" spans="1:14" x14ac:dyDescent="0.25">
      <c r="A6" s="4" t="s">
        <v>51</v>
      </c>
    </row>
    <row r="7" spans="1:14" x14ac:dyDescent="0.25">
      <c r="A7" t="str">
        <f>SUBSTITUTE(DATA!A26,"Days to Get Paid","",1)</f>
        <v>Sales</v>
      </c>
      <c r="B7" s="6">
        <f>DATA!AL67</f>
        <v>43844.360663921805</v>
      </c>
      <c r="C7" s="6">
        <f>DATA!AM67</f>
        <v>43932.093229610298</v>
      </c>
      <c r="D7" s="6">
        <f>DATA!AN67</f>
        <v>44020.001348162747</v>
      </c>
      <c r="E7" s="6">
        <f>DATA!AO67</f>
        <v>44108.085370860412</v>
      </c>
      <c r="F7" s="6">
        <f>DATA!AP67</f>
        <v>44196.345649687493</v>
      </c>
      <c r="G7" s="6">
        <f>DATA!AQ67</f>
        <v>44284.782537332503</v>
      </c>
      <c r="H7" s="6">
        <f>DATA!AR67</f>
        <v>44373.396387189692</v>
      </c>
      <c r="I7" s="6">
        <f>DATA!AS67</f>
        <v>44462.187553360447</v>
      </c>
      <c r="J7" s="6">
        <f>DATA!AT67</f>
        <v>44551.156390654709</v>
      </c>
      <c r="K7" s="6">
        <f>DATA!AU67</f>
        <v>44640.3032545924</v>
      </c>
      <c r="L7" s="6">
        <f>DATA!AV67</f>
        <v>44729.628501404834</v>
      </c>
      <c r="M7" s="6">
        <f>DATA!AW67</f>
        <v>44819.132488036135</v>
      </c>
      <c r="N7" s="7">
        <f>SUM(B7:M7)</f>
        <v>531961.47337481356</v>
      </c>
    </row>
    <row r="8" spans="1:14" x14ac:dyDescent="0.25">
      <c r="A8" s="4" t="s">
        <v>52</v>
      </c>
      <c r="B8" s="9">
        <f t="shared" ref="B8:M8" si="0">SUM(B7:B7)</f>
        <v>43844.360663921805</v>
      </c>
      <c r="C8" s="9">
        <f t="shared" si="0"/>
        <v>43932.093229610298</v>
      </c>
      <c r="D8" s="9">
        <f t="shared" si="0"/>
        <v>44020.001348162747</v>
      </c>
      <c r="E8" s="9">
        <f t="shared" si="0"/>
        <v>44108.085370860412</v>
      </c>
      <c r="F8" s="9">
        <f t="shared" si="0"/>
        <v>44196.345649687493</v>
      </c>
      <c r="G8" s="9">
        <f t="shared" si="0"/>
        <v>44284.782537332503</v>
      </c>
      <c r="H8" s="9">
        <f t="shared" si="0"/>
        <v>44373.396387189692</v>
      </c>
      <c r="I8" s="9">
        <f t="shared" si="0"/>
        <v>44462.187553360447</v>
      </c>
      <c r="J8" s="9">
        <f t="shared" si="0"/>
        <v>44551.156390654709</v>
      </c>
      <c r="K8" s="9">
        <f t="shared" si="0"/>
        <v>44640.3032545924</v>
      </c>
      <c r="L8" s="9">
        <f t="shared" si="0"/>
        <v>44729.628501404834</v>
      </c>
      <c r="M8" s="9">
        <f t="shared" si="0"/>
        <v>44819.132488036135</v>
      </c>
      <c r="N8" s="9">
        <f>SUM(B8:M8)</f>
        <v>531961.47337481356</v>
      </c>
    </row>
    <row r="10" spans="1:14" x14ac:dyDescent="0.25">
      <c r="A10" t="s">
        <v>127</v>
      </c>
      <c r="B10" s="6">
        <f>DATA!AL62</f>
        <v>8555.732987923293</v>
      </c>
      <c r="C10" s="6">
        <f>DATA!AM62</f>
        <v>8581.4344440762015</v>
      </c>
      <c r="D10" s="6">
        <f>DATA!AN62</f>
        <v>8607.2131075063025</v>
      </c>
      <c r="E10" s="6">
        <f>DATA!AO62</f>
        <v>8633.0692101445657</v>
      </c>
      <c r="F10" s="6">
        <f>DATA!AP62</f>
        <v>8659.0029846186808</v>
      </c>
      <c r="G10" s="6">
        <f>DATA!AQ62</f>
        <v>8685.0146642551554</v>
      </c>
      <c r="H10" s="6">
        <f>DATA!AR62</f>
        <v>8711.1044830814099</v>
      </c>
      <c r="I10" s="6">
        <f>DATA!AS62</f>
        <v>8737.2726758278804</v>
      </c>
      <c r="J10" s="6">
        <f>DATA!AT62</f>
        <v>8763.5194779301401</v>
      </c>
      <c r="K10" s="6">
        <f>DATA!AU62</f>
        <v>8789.8451255310047</v>
      </c>
      <c r="L10" s="6">
        <f>DATA!AV62</f>
        <v>8816.2498554826743</v>
      </c>
      <c r="M10" s="6">
        <f>DATA!AW62</f>
        <v>8842.7339053488413</v>
      </c>
      <c r="N10" s="7">
        <f>SUM(B10:M10)</f>
        <v>104382.19292172613</v>
      </c>
    </row>
    <row r="11" spans="1:14" x14ac:dyDescent="0.25">
      <c r="A11" t="s">
        <v>136</v>
      </c>
      <c r="B11" s="6">
        <f>DATA!AL63</f>
        <v>5597.8408761332976</v>
      </c>
      <c r="C11" s="6">
        <f>DATA!AM63</f>
        <v>5603.4387170094305</v>
      </c>
      <c r="D11" s="6">
        <f>DATA!AN63</f>
        <v>5609.042155726439</v>
      </c>
      <c r="E11" s="6">
        <f>DATA!AO63</f>
        <v>5614.6511978821654</v>
      </c>
      <c r="F11" s="6">
        <f>DATA!AP63</f>
        <v>5620.2658490800468</v>
      </c>
      <c r="G11" s="6">
        <f>DATA!AQ63</f>
        <v>5625.8861149291261</v>
      </c>
      <c r="H11" s="6">
        <f>DATA!AR63</f>
        <v>5631.5120010440542</v>
      </c>
      <c r="I11" s="6">
        <f>DATA!AS63</f>
        <v>5637.1435130450973</v>
      </c>
      <c r="J11" s="6">
        <f>DATA!AT63</f>
        <v>5642.7806565581413</v>
      </c>
      <c r="K11" s="6">
        <f>DATA!AU63</f>
        <v>5648.4234372146993</v>
      </c>
      <c r="L11" s="6">
        <f>DATA!AV63</f>
        <v>5654.0718606519131</v>
      </c>
      <c r="M11" s="6">
        <f>DATA!AW63</f>
        <v>5659.7259325125642</v>
      </c>
      <c r="N11" s="7">
        <f>SUM(B11:M11)</f>
        <v>67544.78231178697</v>
      </c>
    </row>
    <row r="12" spans="1:14" x14ac:dyDescent="0.25">
      <c r="A12" s="4" t="s">
        <v>53</v>
      </c>
      <c r="B12" s="9">
        <f t="shared" ref="B12:M12" si="1">SUM(B10:B11)</f>
        <v>14153.573864056591</v>
      </c>
      <c r="C12" s="9">
        <f t="shared" si="1"/>
        <v>14184.873161085632</v>
      </c>
      <c r="D12" s="9">
        <f t="shared" si="1"/>
        <v>14216.255263232742</v>
      </c>
      <c r="E12" s="9">
        <f t="shared" si="1"/>
        <v>14247.720408026731</v>
      </c>
      <c r="F12" s="9">
        <f t="shared" si="1"/>
        <v>14279.268833698727</v>
      </c>
      <c r="G12" s="9">
        <f t="shared" si="1"/>
        <v>14310.900779184281</v>
      </c>
      <c r="H12" s="9">
        <f t="shared" si="1"/>
        <v>14342.616484125465</v>
      </c>
      <c r="I12" s="9">
        <f t="shared" si="1"/>
        <v>14374.416188872978</v>
      </c>
      <c r="J12" s="9">
        <f t="shared" si="1"/>
        <v>14406.300134488281</v>
      </c>
      <c r="K12" s="9">
        <f t="shared" si="1"/>
        <v>14438.268562745703</v>
      </c>
      <c r="L12" s="9">
        <f t="shared" si="1"/>
        <v>14470.321716134587</v>
      </c>
      <c r="M12" s="9">
        <f t="shared" si="1"/>
        <v>14502.459837861406</v>
      </c>
      <c r="N12" s="9">
        <f>SUM(B12:M12)</f>
        <v>171926.97523351311</v>
      </c>
    </row>
    <row r="14" spans="1:14" x14ac:dyDescent="0.25">
      <c r="A14" s="4" t="s">
        <v>54</v>
      </c>
      <c r="B14" s="10">
        <f t="shared" ref="B14:M14" si="2">B8-B12</f>
        <v>29690.786799865215</v>
      </c>
      <c r="C14" s="10">
        <f t="shared" si="2"/>
        <v>29747.220068524664</v>
      </c>
      <c r="D14" s="10">
        <f t="shared" si="2"/>
        <v>29803.746084930004</v>
      </c>
      <c r="E14" s="10">
        <f t="shared" si="2"/>
        <v>29860.364962833679</v>
      </c>
      <c r="F14" s="10">
        <f t="shared" si="2"/>
        <v>29917.076815988767</v>
      </c>
      <c r="G14" s="10">
        <f t="shared" si="2"/>
        <v>29973.881758148222</v>
      </c>
      <c r="H14" s="10">
        <f t="shared" si="2"/>
        <v>30030.779903064227</v>
      </c>
      <c r="I14" s="10">
        <f t="shared" si="2"/>
        <v>30087.771364487468</v>
      </c>
      <c r="J14" s="10">
        <f t="shared" si="2"/>
        <v>30144.856256166429</v>
      </c>
      <c r="K14" s="10">
        <f t="shared" si="2"/>
        <v>30202.034691846697</v>
      </c>
      <c r="L14" s="10">
        <f t="shared" si="2"/>
        <v>30259.306785270244</v>
      </c>
      <c r="M14" s="10">
        <f t="shared" si="2"/>
        <v>30316.672650174729</v>
      </c>
      <c r="N14" s="10">
        <f>SUM(B14:M14)</f>
        <v>360034.49814130028</v>
      </c>
    </row>
    <row r="15" spans="1:14" x14ac:dyDescent="0.25">
      <c r="A15" t="s">
        <v>55</v>
      </c>
      <c r="B15" s="2">
        <f t="shared" ref="B15:N15" si="3">IF(B8=0,0,B14/B8)</f>
        <v>0.67718599040484728</v>
      </c>
      <c r="C15" s="2">
        <f t="shared" si="3"/>
        <v>0.67711820406670253</v>
      </c>
      <c r="D15" s="2">
        <f t="shared" si="3"/>
        <v>0.67705009477865263</v>
      </c>
      <c r="E15" s="2">
        <f t="shared" si="3"/>
        <v>0.6769816624722651</v>
      </c>
      <c r="F15" s="2">
        <f t="shared" si="3"/>
        <v>0.67691290707878482</v>
      </c>
      <c r="G15" s="2">
        <f t="shared" si="3"/>
        <v>0.67684382852913294</v>
      </c>
      <c r="H15" s="2">
        <f t="shared" si="3"/>
        <v>0.67677442675390775</v>
      </c>
      <c r="I15" s="2">
        <f t="shared" si="3"/>
        <v>0.67670470168338437</v>
      </c>
      <c r="J15" s="2">
        <f t="shared" si="3"/>
        <v>0.67663465324751426</v>
      </c>
      <c r="K15" s="2">
        <f t="shared" si="3"/>
        <v>0.6765642813759255</v>
      </c>
      <c r="L15" s="2">
        <f t="shared" si="3"/>
        <v>0.67649358599792264</v>
      </c>
      <c r="M15" s="2">
        <f t="shared" si="3"/>
        <v>0.67642256704248693</v>
      </c>
      <c r="N15" s="11">
        <f t="shared" si="3"/>
        <v>0.67680558867770557</v>
      </c>
    </row>
    <row r="17" spans="1:14" x14ac:dyDescent="0.25">
      <c r="A17" s="4" t="s">
        <v>17</v>
      </c>
    </row>
    <row r="18" spans="1:14" x14ac:dyDescent="0.25">
      <c r="A18" t="str">
        <f>DATA!A43</f>
        <v>Salaries (Non Drivers)</v>
      </c>
      <c r="B18" s="6">
        <f>DATA!AL43</f>
        <v>0</v>
      </c>
      <c r="C18" s="6">
        <f>DATA!AM43</f>
        <v>0</v>
      </c>
      <c r="D18" s="6">
        <f>DATA!AN43</f>
        <v>0</v>
      </c>
      <c r="E18" s="6">
        <f>DATA!AO43</f>
        <v>0</v>
      </c>
      <c r="F18" s="6">
        <f>DATA!AP43</f>
        <v>0</v>
      </c>
      <c r="G18" s="6">
        <f>DATA!AQ43</f>
        <v>0</v>
      </c>
      <c r="H18" s="6">
        <f>DATA!AR43</f>
        <v>0</v>
      </c>
      <c r="I18" s="6">
        <f>DATA!AS43</f>
        <v>0</v>
      </c>
      <c r="J18" s="6">
        <f>DATA!AT43</f>
        <v>0</v>
      </c>
      <c r="K18" s="6">
        <f>DATA!AU43</f>
        <v>0</v>
      </c>
      <c r="L18" s="6">
        <f>DATA!AV43</f>
        <v>0</v>
      </c>
      <c r="M18" s="6">
        <f>DATA!AW43</f>
        <v>0</v>
      </c>
      <c r="N18" s="7">
        <f t="shared" ref="N18:N31" si="4">SUM(B18:M18)</f>
        <v>0</v>
      </c>
    </row>
    <row r="19" spans="1:14" x14ac:dyDescent="0.25">
      <c r="A19" t="str">
        <f>DATA!A44</f>
        <v>Insurance (Liability, Damage, and Cargo)</v>
      </c>
      <c r="B19" s="6">
        <f>DATA!AL44</f>
        <v>2152.9614636002575</v>
      </c>
      <c r="C19" s="6">
        <f>DATA!AM44</f>
        <v>2131.4318489642551</v>
      </c>
      <c r="D19" s="6">
        <f>DATA!AN44</f>
        <v>2110.1175304746125</v>
      </c>
      <c r="E19" s="6">
        <f>DATA!AO44</f>
        <v>2089.0163551698665</v>
      </c>
      <c r="F19" s="6">
        <f>DATA!AP44</f>
        <v>2068.1261916181679</v>
      </c>
      <c r="G19" s="6">
        <f>DATA!AQ44</f>
        <v>2047.4449297019862</v>
      </c>
      <c r="H19" s="6">
        <f>DATA!AR44</f>
        <v>2026.9704804049663</v>
      </c>
      <c r="I19" s="6">
        <f>DATA!AS44</f>
        <v>2006.7007756009166</v>
      </c>
      <c r="J19" s="6">
        <f>DATA!AT44</f>
        <v>1986.6337678449074</v>
      </c>
      <c r="K19" s="6">
        <f>DATA!AU44</f>
        <v>1966.7674301664583</v>
      </c>
      <c r="L19" s="6">
        <f>DATA!AV44</f>
        <v>1947.0997558647937</v>
      </c>
      <c r="M19" s="6">
        <f>DATA!AW44</f>
        <v>1927.6287583061458</v>
      </c>
      <c r="N19" s="7">
        <f t="shared" si="4"/>
        <v>24460.899287717337</v>
      </c>
    </row>
    <row r="20" spans="1:14" x14ac:dyDescent="0.25">
      <c r="A20" t="str">
        <f>DATA!A46</f>
        <v>Toll Road Payment</v>
      </c>
      <c r="B20" s="6">
        <f>DATA!AL46</f>
        <v>240</v>
      </c>
      <c r="C20" s="6">
        <f>DATA!AM46</f>
        <v>240</v>
      </c>
      <c r="D20" s="6">
        <f>DATA!AN46</f>
        <v>240</v>
      </c>
      <c r="E20" s="6">
        <f>DATA!AO46</f>
        <v>240</v>
      </c>
      <c r="F20" s="6">
        <f>DATA!AP46</f>
        <v>240</v>
      </c>
      <c r="G20" s="6">
        <f>DATA!AQ46</f>
        <v>240</v>
      </c>
      <c r="H20" s="6">
        <f>DATA!AR46</f>
        <v>240</v>
      </c>
      <c r="I20" s="6">
        <f>DATA!AS46</f>
        <v>240</v>
      </c>
      <c r="J20" s="6">
        <f>DATA!AT46</f>
        <v>240</v>
      </c>
      <c r="K20" s="6">
        <f>DATA!AU46</f>
        <v>240</v>
      </c>
      <c r="L20" s="6">
        <f>DATA!AV46</f>
        <v>240</v>
      </c>
      <c r="M20" s="6">
        <f>DATA!AW46</f>
        <v>240</v>
      </c>
      <c r="N20" s="7">
        <f t="shared" si="4"/>
        <v>2880</v>
      </c>
    </row>
    <row r="21" spans="1:14" x14ac:dyDescent="0.25">
      <c r="A21" t="str">
        <f>DATA!A47</f>
        <v>Weight and Scale Fees</v>
      </c>
      <c r="B21" s="6">
        <f>DATA!AL47</f>
        <v>200</v>
      </c>
      <c r="C21" s="6">
        <f>DATA!AM47</f>
        <v>200</v>
      </c>
      <c r="D21" s="6">
        <f>DATA!AN47</f>
        <v>200</v>
      </c>
      <c r="E21" s="6">
        <f>DATA!AO47</f>
        <v>200</v>
      </c>
      <c r="F21" s="6">
        <f>DATA!AP47</f>
        <v>200</v>
      </c>
      <c r="G21" s="6">
        <f>DATA!AQ47</f>
        <v>200</v>
      </c>
      <c r="H21" s="6">
        <f>DATA!AR47</f>
        <v>200</v>
      </c>
      <c r="I21" s="6">
        <f>DATA!AS47</f>
        <v>200</v>
      </c>
      <c r="J21" s="6">
        <f>DATA!AT47</f>
        <v>200</v>
      </c>
      <c r="K21" s="6">
        <f>DATA!AU47</f>
        <v>200</v>
      </c>
      <c r="L21" s="6">
        <f>DATA!AV47</f>
        <v>200</v>
      </c>
      <c r="M21" s="6">
        <f>DATA!AW47</f>
        <v>200</v>
      </c>
      <c r="N21" s="7">
        <f t="shared" si="4"/>
        <v>2400</v>
      </c>
    </row>
    <row r="22" spans="1:14" x14ac:dyDescent="0.25">
      <c r="A22" t="str">
        <f>DATA!A48</f>
        <v>Repair and Maintenance</v>
      </c>
      <c r="B22" s="6">
        <f>DATA!AL48</f>
        <v>1788.4609794894761</v>
      </c>
      <c r="C22" s="6">
        <f>DATA!AM48</f>
        <v>1806.3455892843708</v>
      </c>
      <c r="D22" s="6">
        <f>DATA!AN48</f>
        <v>1824.4090451772145</v>
      </c>
      <c r="E22" s="6">
        <f>DATA!AO48</f>
        <v>1842.6531356289865</v>
      </c>
      <c r="F22" s="6">
        <f>DATA!AP48</f>
        <v>1861.0796669852764</v>
      </c>
      <c r="G22" s="6">
        <f>DATA!AQ48</f>
        <v>1879.6904636551292</v>
      </c>
      <c r="H22" s="6">
        <f>DATA!AR48</f>
        <v>1898.4873682916805</v>
      </c>
      <c r="I22" s="6">
        <f>DATA!AS48</f>
        <v>1917.4722419745972</v>
      </c>
      <c r="J22" s="6">
        <f>DATA!AT48</f>
        <v>1936.6469643943431</v>
      </c>
      <c r="K22" s="6">
        <f>DATA!AU48</f>
        <v>1956.0134340382865</v>
      </c>
      <c r="L22" s="6">
        <f>DATA!AV48</f>
        <v>1975.5735683786693</v>
      </c>
      <c r="M22" s="6">
        <f>DATA!AW48</f>
        <v>1995.329304062456</v>
      </c>
      <c r="N22" s="7">
        <f t="shared" si="4"/>
        <v>22682.161761360487</v>
      </c>
    </row>
    <row r="23" spans="1:14" x14ac:dyDescent="0.25">
      <c r="A23" t="str">
        <f>DATA!A50</f>
        <v>Tractor Trailer Notes</v>
      </c>
      <c r="B23" s="6">
        <f>DATA!AL50</f>
        <v>6939.91</v>
      </c>
      <c r="C23" s="6">
        <f>DATA!AM50</f>
        <v>6939.91</v>
      </c>
      <c r="D23" s="6">
        <f>DATA!AN50</f>
        <v>6939.91</v>
      </c>
      <c r="E23" s="6">
        <f>DATA!AO50</f>
        <v>6939.91</v>
      </c>
      <c r="F23" s="6">
        <f>DATA!AP50</f>
        <v>6939.91</v>
      </c>
      <c r="G23" s="6">
        <f>DATA!AQ50</f>
        <v>6939.91</v>
      </c>
      <c r="H23" s="6">
        <f>DATA!AR50</f>
        <v>6939.91</v>
      </c>
      <c r="I23" s="6">
        <f>DATA!AS50</f>
        <v>6939.91</v>
      </c>
      <c r="J23" s="6">
        <f>DATA!AT50</f>
        <v>6939.91</v>
      </c>
      <c r="K23" s="6">
        <f>DATA!AU50</f>
        <v>6939.91</v>
      </c>
      <c r="L23" s="6">
        <f>DATA!AV50</f>
        <v>6939.91</v>
      </c>
      <c r="M23" s="6">
        <f>DATA!AW50</f>
        <v>6939.91</v>
      </c>
      <c r="N23" s="7">
        <f t="shared" si="4"/>
        <v>83278.920000000027</v>
      </c>
    </row>
    <row r="24" spans="1:14" x14ac:dyDescent="0.25">
      <c r="A24" t="str">
        <f>DATA!A51</f>
        <v>Permits, Licenses, and Fuel Tax</v>
      </c>
      <c r="B24" s="6">
        <f>DATA!AL51</f>
        <v>100</v>
      </c>
      <c r="C24" s="6">
        <f>DATA!AM51</f>
        <v>100</v>
      </c>
      <c r="D24" s="6">
        <f>DATA!AN51</f>
        <v>100</v>
      </c>
      <c r="E24" s="6">
        <f>DATA!AO51</f>
        <v>100</v>
      </c>
      <c r="F24" s="6">
        <f>DATA!AP51</f>
        <v>100</v>
      </c>
      <c r="G24" s="6">
        <f>DATA!AQ51</f>
        <v>100</v>
      </c>
      <c r="H24" s="6">
        <f>DATA!AR51</f>
        <v>100</v>
      </c>
      <c r="I24" s="6">
        <f>DATA!AS51</f>
        <v>100</v>
      </c>
      <c r="J24" s="6">
        <f>DATA!AT51</f>
        <v>100</v>
      </c>
      <c r="K24" s="6">
        <f>DATA!AU51</f>
        <v>100</v>
      </c>
      <c r="L24" s="6">
        <f>DATA!AV51</f>
        <v>100</v>
      </c>
      <c r="M24" s="6">
        <f>DATA!AW51</f>
        <v>100</v>
      </c>
      <c r="N24" s="7">
        <f t="shared" si="4"/>
        <v>1200</v>
      </c>
    </row>
    <row r="25" spans="1:14" x14ac:dyDescent="0.25">
      <c r="A25" t="str">
        <f>DATA!A52</f>
        <v>Office, Admin, and Communication</v>
      </c>
      <c r="B25" s="6">
        <f>DATA!AL52</f>
        <v>416.67</v>
      </c>
      <c r="C25" s="6">
        <f>DATA!AM52</f>
        <v>416.67</v>
      </c>
      <c r="D25" s="6">
        <f>DATA!AN52</f>
        <v>416.67</v>
      </c>
      <c r="E25" s="6">
        <f>DATA!AO52</f>
        <v>416.67</v>
      </c>
      <c r="F25" s="6">
        <f>DATA!AP52</f>
        <v>416.67</v>
      </c>
      <c r="G25" s="6">
        <f>DATA!AQ52</f>
        <v>416.67</v>
      </c>
      <c r="H25" s="6">
        <f>DATA!AR52</f>
        <v>416.67</v>
      </c>
      <c r="I25" s="6">
        <f>DATA!AS52</f>
        <v>416.67</v>
      </c>
      <c r="J25" s="6">
        <f>DATA!AT52</f>
        <v>416.67</v>
      </c>
      <c r="K25" s="6">
        <f>DATA!AU52</f>
        <v>416.67</v>
      </c>
      <c r="L25" s="6">
        <f>DATA!AV52</f>
        <v>416.67</v>
      </c>
      <c r="M25" s="6">
        <f>DATA!AW52</f>
        <v>416.67</v>
      </c>
      <c r="N25" s="7">
        <f t="shared" si="4"/>
        <v>5000.04</v>
      </c>
    </row>
    <row r="26" spans="1:14" x14ac:dyDescent="0.25">
      <c r="A26" t="str">
        <f>DATA!A53</f>
        <v>Professional Service Fees (CPA, Legal, etc)</v>
      </c>
      <c r="B26" s="6">
        <f>DATA!AL53</f>
        <v>250</v>
      </c>
      <c r="C26" s="6">
        <f>DATA!AM53</f>
        <v>250</v>
      </c>
      <c r="D26" s="6">
        <f>DATA!AN53</f>
        <v>250</v>
      </c>
      <c r="E26" s="6">
        <f>DATA!AO53</f>
        <v>250</v>
      </c>
      <c r="F26" s="6">
        <f>DATA!AP53</f>
        <v>250</v>
      </c>
      <c r="G26" s="6">
        <f>DATA!AQ53</f>
        <v>250</v>
      </c>
      <c r="H26" s="6">
        <f>DATA!AR53</f>
        <v>250</v>
      </c>
      <c r="I26" s="6">
        <f>DATA!AS53</f>
        <v>250</v>
      </c>
      <c r="J26" s="6">
        <f>DATA!AT53</f>
        <v>250</v>
      </c>
      <c r="K26" s="6">
        <f>DATA!AU53</f>
        <v>250</v>
      </c>
      <c r="L26" s="6">
        <f>DATA!AV53</f>
        <v>250</v>
      </c>
      <c r="M26" s="6">
        <f>DATA!AW53</f>
        <v>250</v>
      </c>
      <c r="N26" s="7">
        <f t="shared" si="4"/>
        <v>3000</v>
      </c>
    </row>
    <row r="27" spans="1:14" x14ac:dyDescent="0.25">
      <c r="A27" t="str">
        <f>DATA!A54</f>
        <v>Reserve for Unforseen Expenses</v>
      </c>
      <c r="B27" s="6">
        <f>DATA!B54</f>
        <v>10000</v>
      </c>
      <c r="C27" s="6">
        <f>DATA!C54</f>
        <v>0</v>
      </c>
      <c r="D27" s="6">
        <f>DATA!D54</f>
        <v>0</v>
      </c>
      <c r="E27" s="6">
        <f>DATA!E54</f>
        <v>0</v>
      </c>
      <c r="F27" s="6">
        <f>DATA!F54</f>
        <v>0</v>
      </c>
      <c r="G27" s="6">
        <f>DATA!G54</f>
        <v>0</v>
      </c>
      <c r="H27" s="6">
        <f>DATA!H54</f>
        <v>0</v>
      </c>
      <c r="I27" s="6">
        <f>DATA!I54</f>
        <v>0</v>
      </c>
      <c r="J27" s="6">
        <f>DATA!J54</f>
        <v>0</v>
      </c>
      <c r="K27" s="6">
        <f>DATA!K54</f>
        <v>0</v>
      </c>
      <c r="L27" s="6">
        <f>DATA!L54</f>
        <v>0</v>
      </c>
      <c r="M27" s="6">
        <f>DATA!M54</f>
        <v>0</v>
      </c>
      <c r="N27" s="7">
        <f t="shared" si="4"/>
        <v>10000</v>
      </c>
    </row>
    <row r="28" spans="1:14" x14ac:dyDescent="0.25">
      <c r="A28" t="s">
        <v>56</v>
      </c>
      <c r="B28" s="6">
        <f>LoanModule!D45</f>
        <v>1046.0849002819527</v>
      </c>
      <c r="C28" s="6">
        <f>LoanModule!D46</f>
        <v>1005.7472129442004</v>
      </c>
      <c r="D28" s="6">
        <f>LoanModule!D47</f>
        <v>965.14060769086336</v>
      </c>
      <c r="E28" s="6">
        <f>LoanModule!D48</f>
        <v>924.26329173583724</v>
      </c>
      <c r="F28" s="6">
        <f>LoanModule!D49</f>
        <v>883.11346034111091</v>
      </c>
      <c r="G28" s="6">
        <f>LoanModule!D50</f>
        <v>841.68929673708635</v>
      </c>
      <c r="H28" s="6">
        <f>LoanModule!D51</f>
        <v>799.98897204236835</v>
      </c>
      <c r="I28" s="6">
        <f>LoanModule!D52</f>
        <v>758.01064518301894</v>
      </c>
      <c r="J28" s="6">
        <f>LoanModule!D53</f>
        <v>715.75246281127374</v>
      </c>
      <c r="K28" s="6">
        <f>LoanModule!D54</f>
        <v>673.21255922371699</v>
      </c>
      <c r="L28" s="6">
        <f>LoanModule!D55</f>
        <v>630.38905627890983</v>
      </c>
      <c r="M28" s="6">
        <f>LoanModule!D56</f>
        <v>587.28006331447068</v>
      </c>
      <c r="N28" s="7">
        <f t="shared" si="4"/>
        <v>9830.6725285848079</v>
      </c>
    </row>
    <row r="29" spans="1:14" x14ac:dyDescent="0.25">
      <c r="A29" t="s">
        <v>57</v>
      </c>
      <c r="B29" s="6">
        <f>DATA!$B$56*DATA!AL61</f>
        <v>0</v>
      </c>
      <c r="C29" s="6">
        <f>DATA!$B$56*DATA!AM61</f>
        <v>0</v>
      </c>
      <c r="D29" s="6">
        <f>DATA!$B$56*DATA!AN61</f>
        <v>0</v>
      </c>
      <c r="E29" s="6">
        <f>DATA!$B$56*DATA!AO61</f>
        <v>0</v>
      </c>
      <c r="F29" s="6">
        <f>DATA!$B$56*DATA!AP61</f>
        <v>0</v>
      </c>
      <c r="G29" s="6">
        <f>DATA!$B$56*DATA!AQ61</f>
        <v>0</v>
      </c>
      <c r="H29" s="6">
        <f>DATA!$B$56*DATA!AR61</f>
        <v>0</v>
      </c>
      <c r="I29" s="6">
        <f>DATA!$B$56*DATA!AS61</f>
        <v>0</v>
      </c>
      <c r="J29" s="6">
        <f>DATA!$B$56*DATA!AT61</f>
        <v>0</v>
      </c>
      <c r="K29" s="6">
        <f>DATA!$B$56*DATA!AU61</f>
        <v>0</v>
      </c>
      <c r="L29" s="6">
        <f>DATA!$B$56*DATA!AV61</f>
        <v>0</v>
      </c>
      <c r="M29" s="6">
        <f>DATA!$B$56*DATA!AW61</f>
        <v>0</v>
      </c>
      <c r="N29" s="7">
        <f t="shared" si="4"/>
        <v>0</v>
      </c>
    </row>
    <row r="30" spans="1:14" x14ac:dyDescent="0.25">
      <c r="A30" t="s">
        <v>58</v>
      </c>
      <c r="B30" s="6">
        <f>DATA!AL65</f>
        <v>2625</v>
      </c>
      <c r="C30" s="6">
        <f>DATA!AM65</f>
        <v>2625</v>
      </c>
      <c r="D30" s="6">
        <f>DATA!AN65</f>
        <v>2625</v>
      </c>
      <c r="E30" s="6">
        <f>DATA!AO65</f>
        <v>2625</v>
      </c>
      <c r="F30" s="6">
        <f>DATA!AP65</f>
        <v>2625</v>
      </c>
      <c r="G30" s="6">
        <f>DATA!AQ65</f>
        <v>2625</v>
      </c>
      <c r="H30" s="6">
        <f>DATA!AR65</f>
        <v>2625</v>
      </c>
      <c r="I30" s="6">
        <f>DATA!AS65</f>
        <v>2625</v>
      </c>
      <c r="J30" s="6">
        <f>DATA!AT65</f>
        <v>2625</v>
      </c>
      <c r="K30" s="6">
        <f>DATA!AU65</f>
        <v>2625</v>
      </c>
      <c r="L30" s="6">
        <f>DATA!AV65</f>
        <v>2625</v>
      </c>
      <c r="M30" s="6">
        <f>DATA!AW65</f>
        <v>2625</v>
      </c>
      <c r="N30" s="7">
        <f t="shared" si="4"/>
        <v>31500</v>
      </c>
    </row>
    <row r="31" spans="1:14" x14ac:dyDescent="0.25">
      <c r="A31" s="4" t="s">
        <v>59</v>
      </c>
      <c r="B31" s="8">
        <f t="shared" ref="B31:M31" si="5">SUM(B18:B30)</f>
        <v>25759.087343371684</v>
      </c>
      <c r="C31" s="8">
        <f t="shared" si="5"/>
        <v>15715.104651192827</v>
      </c>
      <c r="D31" s="8">
        <f t="shared" si="5"/>
        <v>15671.24718334269</v>
      </c>
      <c r="E31" s="8">
        <f t="shared" si="5"/>
        <v>15627.51278253469</v>
      </c>
      <c r="F31" s="8">
        <f t="shared" si="5"/>
        <v>15583.899318944554</v>
      </c>
      <c r="G31" s="8">
        <f t="shared" si="5"/>
        <v>15540.404690094201</v>
      </c>
      <c r="H31" s="8">
        <f t="shared" si="5"/>
        <v>15497.026820739015</v>
      </c>
      <c r="I31" s="8">
        <f t="shared" si="5"/>
        <v>15453.763662758534</v>
      </c>
      <c r="J31" s="8">
        <f t="shared" si="5"/>
        <v>15410.613195050524</v>
      </c>
      <c r="K31" s="8">
        <f t="shared" si="5"/>
        <v>15367.573423428463</v>
      </c>
      <c r="L31" s="8">
        <f t="shared" si="5"/>
        <v>15324.642380522373</v>
      </c>
      <c r="M31" s="8">
        <f t="shared" si="5"/>
        <v>15281.818125683072</v>
      </c>
      <c r="N31" s="8">
        <f t="shared" si="4"/>
        <v>196232.69357766263</v>
      </c>
    </row>
    <row r="33" spans="1:14" x14ac:dyDescent="0.25">
      <c r="A33" s="4" t="s">
        <v>60</v>
      </c>
      <c r="B33" s="10">
        <f t="shared" ref="B33:M33" si="6">B14-B31</f>
        <v>3931.6994564935303</v>
      </c>
      <c r="C33" s="10">
        <f t="shared" si="6"/>
        <v>14032.115417331837</v>
      </c>
      <c r="D33" s="10">
        <f t="shared" si="6"/>
        <v>14132.498901587314</v>
      </c>
      <c r="E33" s="10">
        <f t="shared" si="6"/>
        <v>14232.852180298989</v>
      </c>
      <c r="F33" s="10">
        <f t="shared" si="6"/>
        <v>14333.177497044213</v>
      </c>
      <c r="G33" s="10">
        <f t="shared" si="6"/>
        <v>14433.47706805402</v>
      </c>
      <c r="H33" s="10">
        <f t="shared" si="6"/>
        <v>14533.753082325213</v>
      </c>
      <c r="I33" s="10">
        <f t="shared" si="6"/>
        <v>14634.007701728933</v>
      </c>
      <c r="J33" s="10">
        <f t="shared" si="6"/>
        <v>14734.243061115905</v>
      </c>
      <c r="K33" s="10">
        <f t="shared" si="6"/>
        <v>14834.461268418234</v>
      </c>
      <c r="L33" s="10">
        <f t="shared" si="6"/>
        <v>14934.664404747871</v>
      </c>
      <c r="M33" s="10">
        <f t="shared" si="6"/>
        <v>15034.854524491657</v>
      </c>
      <c r="N33" s="10">
        <f>SUM(B33:M33)</f>
        <v>163801.80456363768</v>
      </c>
    </row>
    <row r="35" spans="1:14" x14ac:dyDescent="0.25">
      <c r="A35" t="s">
        <v>61</v>
      </c>
      <c r="B35" s="6">
        <f>N35/12</f>
        <v>2047.5225570454711</v>
      </c>
      <c r="C35" s="6">
        <f>N35/12</f>
        <v>2047.5225570454711</v>
      </c>
      <c r="D35" s="6">
        <f>N35/12</f>
        <v>2047.5225570454711</v>
      </c>
      <c r="E35" s="6">
        <f>N35/12</f>
        <v>2047.5225570454711</v>
      </c>
      <c r="F35" s="6">
        <f>N35/12</f>
        <v>2047.5225570454711</v>
      </c>
      <c r="G35" s="6">
        <f>N35/12</f>
        <v>2047.5225570454711</v>
      </c>
      <c r="H35" s="6">
        <f>N35/12</f>
        <v>2047.5225570454711</v>
      </c>
      <c r="I35" s="6">
        <f>N35/12</f>
        <v>2047.5225570454711</v>
      </c>
      <c r="J35" s="6">
        <f>N35/12</f>
        <v>2047.5225570454711</v>
      </c>
      <c r="K35" s="6">
        <f>N35/12</f>
        <v>2047.5225570454711</v>
      </c>
      <c r="L35" s="6">
        <f>N35/12</f>
        <v>2047.5225570454711</v>
      </c>
      <c r="M35" s="6">
        <f>N35/12</f>
        <v>2047.5225570454711</v>
      </c>
      <c r="N35" s="7">
        <f>IF(N33&lt;=0,0,N33*DATA!B57)</f>
        <v>24570.270684545652</v>
      </c>
    </row>
    <row r="37" spans="1:14" x14ac:dyDescent="0.25">
      <c r="A37" s="4" t="s">
        <v>62</v>
      </c>
      <c r="B37" s="9">
        <f t="shared" ref="B37:M37" si="7">B33-B35</f>
        <v>1884.1768994480592</v>
      </c>
      <c r="C37" s="9">
        <f t="shared" si="7"/>
        <v>11984.592860286366</v>
      </c>
      <c r="D37" s="9">
        <f t="shared" si="7"/>
        <v>12084.976344541843</v>
      </c>
      <c r="E37" s="9">
        <f t="shared" si="7"/>
        <v>12185.329623253518</v>
      </c>
      <c r="F37" s="9">
        <f t="shared" si="7"/>
        <v>12285.654939998742</v>
      </c>
      <c r="G37" s="9">
        <f t="shared" si="7"/>
        <v>12385.954511008549</v>
      </c>
      <c r="H37" s="9">
        <f t="shared" si="7"/>
        <v>12486.230525279741</v>
      </c>
      <c r="I37" s="9">
        <f t="shared" si="7"/>
        <v>12586.485144683462</v>
      </c>
      <c r="J37" s="9">
        <f t="shared" si="7"/>
        <v>12686.720504070434</v>
      </c>
      <c r="K37" s="9">
        <f t="shared" si="7"/>
        <v>12786.938711372763</v>
      </c>
      <c r="L37" s="9">
        <f t="shared" si="7"/>
        <v>12887.1418477024</v>
      </c>
      <c r="M37" s="9">
        <f t="shared" si="7"/>
        <v>12987.331967446185</v>
      </c>
      <c r="N37" s="9">
        <f>SUM(B37:M37)</f>
        <v>139231.53387909205</v>
      </c>
    </row>
    <row r="42" spans="1:14" x14ac:dyDescent="0.25">
      <c r="A4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ProjectionHub</vt:lpstr>
      <vt:lpstr>DATA</vt:lpstr>
      <vt:lpstr>RevenueModule</vt:lpstr>
      <vt:lpstr>LoanModule</vt:lpstr>
      <vt:lpstr>StartupCosts</vt:lpstr>
      <vt:lpstr>IncomeStatement_Year1</vt:lpstr>
      <vt:lpstr>IncomeStatement_Year2</vt:lpstr>
      <vt:lpstr>IncomeStatement_Year3</vt:lpstr>
      <vt:lpstr>IncomeStatement_Year4</vt:lpstr>
      <vt:lpstr>IncomeStatement_Year5</vt:lpstr>
      <vt:lpstr>CashFlowStatement_Year1</vt:lpstr>
      <vt:lpstr>CashFlowStatement_Year2</vt:lpstr>
      <vt:lpstr>CashFlowStatement_Year3</vt:lpstr>
      <vt:lpstr>CashFlowStatement_Year4</vt:lpstr>
      <vt:lpstr>CashFlowStatement_Year5</vt:lpstr>
      <vt:lpstr>BalanceSheet_Year1</vt:lpstr>
      <vt:lpstr>BalanceSheet_Year2</vt:lpstr>
      <vt:lpstr>BalanceSheet_Year3</vt:lpstr>
      <vt:lpstr>BalanceSheet_Year4</vt:lpstr>
      <vt:lpstr>BalanceSheet_Year5</vt:lpstr>
      <vt:lpstr>AnnualSummary</vt:lpstr>
      <vt:lpstr>Dashboard Example</vt:lpstr>
      <vt:lpstr>Graphs for Dashboard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ProjectionHub</dc:creator>
  <cp:keywords>office 2007 openxml php</cp:keywords>
  <dc:description>Test document for Office 2007 XLSX, generated using PHP classes.</dc:description>
  <cp:lastModifiedBy>Adam</cp:lastModifiedBy>
  <dcterms:created xsi:type="dcterms:W3CDTF">2014-06-27T20:10:25Z</dcterms:created>
  <dcterms:modified xsi:type="dcterms:W3CDTF">2017-08-14T19:54:40Z</dcterms:modified>
  <cp:category>Financial Projections</cp:category>
</cp:coreProperties>
</file>