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am\Desktop\Adam\New ProjectionHub\"/>
    </mc:Choice>
  </mc:AlternateContent>
  <bookViews>
    <workbookView xWindow="510" yWindow="525" windowWidth="17895" windowHeight="8640"/>
  </bookViews>
  <sheets>
    <sheet name="ProjectionHub" sheetId="20" r:id="rId1"/>
    <sheet name="DATA" sheetId="1" r:id="rId2"/>
    <sheet name="RevenueModule" sheetId="18" r:id="rId3"/>
    <sheet name="LoanModule" sheetId="2" r:id="rId4"/>
    <sheet name="SalaryModule" sheetId="3" r:id="rId5"/>
    <sheet name="StartupCosts" sheetId="4" r:id="rId6"/>
    <sheet name="StartupDetails" sheetId="19" r:id="rId7"/>
    <sheet name="IncomeStatement_Year1" sheetId="5" r:id="rId8"/>
    <sheet name="IncomeStatement_Year2" sheetId="6" r:id="rId9"/>
    <sheet name="IncomeStatement_Year3" sheetId="7" r:id="rId10"/>
    <sheet name="CashFlowStatement_Year1" sheetId="8" r:id="rId11"/>
    <sheet name="CashFlowStatement_Year2" sheetId="9" r:id="rId12"/>
    <sheet name="CashFlowStatement_Year3" sheetId="10" r:id="rId13"/>
    <sheet name="BalanceSheet_Year1" sheetId="11" r:id="rId14"/>
    <sheet name="BalanceSheet_Year2" sheetId="12" r:id="rId15"/>
    <sheet name="BalanceSheet_Year3" sheetId="13" r:id="rId16"/>
    <sheet name="AnnualSummary" sheetId="15" r:id="rId17"/>
    <sheet name="Graphs" sheetId="16" r:id="rId18"/>
  </sheets>
  <calcPr calcId="162913"/>
</workbook>
</file>

<file path=xl/calcChain.xml><?xml version="1.0" encoding="utf-8"?>
<calcChain xmlns="http://schemas.openxmlformats.org/spreadsheetml/2006/main">
  <c r="A5" i="20" l="1"/>
  <c r="B21" i="5" l="1"/>
  <c r="B25" i="5"/>
  <c r="B26" i="5"/>
  <c r="B27" i="5"/>
  <c r="B28" i="5"/>
  <c r="B29" i="5"/>
  <c r="B30" i="5"/>
  <c r="B31" i="5"/>
  <c r="B32" i="5"/>
  <c r="B33" i="5"/>
  <c r="B34" i="5"/>
  <c r="B35" i="5"/>
  <c r="C18" i="10"/>
  <c r="D18" i="10"/>
  <c r="E18" i="10"/>
  <c r="F18" i="10"/>
  <c r="G18" i="10"/>
  <c r="H18" i="10"/>
  <c r="I18" i="10"/>
  <c r="J18" i="10"/>
  <c r="K18" i="10"/>
  <c r="L18" i="10"/>
  <c r="M18" i="10"/>
  <c r="C19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M20" i="10"/>
  <c r="C21" i="10"/>
  <c r="D21" i="10"/>
  <c r="E21" i="10"/>
  <c r="F21" i="10"/>
  <c r="G21" i="10"/>
  <c r="H21" i="10"/>
  <c r="I21" i="10"/>
  <c r="J21" i="10"/>
  <c r="K21" i="10"/>
  <c r="L21" i="10"/>
  <c r="M21" i="10"/>
  <c r="C22" i="10"/>
  <c r="D22" i="10"/>
  <c r="E22" i="10"/>
  <c r="F22" i="10"/>
  <c r="G22" i="10"/>
  <c r="H22" i="10"/>
  <c r="I22" i="10"/>
  <c r="J22" i="10"/>
  <c r="K22" i="10"/>
  <c r="L22" i="10"/>
  <c r="M22" i="10"/>
  <c r="C23" i="10"/>
  <c r="D23" i="10"/>
  <c r="E23" i="10"/>
  <c r="F23" i="10"/>
  <c r="G23" i="10"/>
  <c r="H23" i="10"/>
  <c r="I23" i="10"/>
  <c r="J23" i="10"/>
  <c r="K23" i="10"/>
  <c r="L23" i="10"/>
  <c r="M23" i="10"/>
  <c r="C24" i="10"/>
  <c r="D24" i="10"/>
  <c r="E24" i="10"/>
  <c r="F24" i="10"/>
  <c r="G24" i="10"/>
  <c r="H24" i="10"/>
  <c r="I24" i="10"/>
  <c r="J24" i="10"/>
  <c r="K24" i="10"/>
  <c r="L24" i="10"/>
  <c r="M24" i="10"/>
  <c r="C25" i="10"/>
  <c r="D25" i="10"/>
  <c r="E25" i="10"/>
  <c r="F25" i="10"/>
  <c r="G25" i="10"/>
  <c r="H25" i="10"/>
  <c r="I25" i="10"/>
  <c r="J25" i="10"/>
  <c r="K25" i="10"/>
  <c r="L25" i="10"/>
  <c r="M25" i="10"/>
  <c r="C26" i="10"/>
  <c r="D26" i="10"/>
  <c r="E26" i="10"/>
  <c r="F26" i="10"/>
  <c r="G26" i="10"/>
  <c r="H26" i="10"/>
  <c r="I26" i="10"/>
  <c r="J26" i="10"/>
  <c r="K26" i="10"/>
  <c r="L26" i="10"/>
  <c r="M26" i="10"/>
  <c r="C27" i="10"/>
  <c r="D27" i="10"/>
  <c r="E27" i="10"/>
  <c r="F27" i="10"/>
  <c r="G27" i="10"/>
  <c r="H27" i="10"/>
  <c r="I27" i="10"/>
  <c r="J27" i="10"/>
  <c r="K27" i="10"/>
  <c r="L27" i="10"/>
  <c r="M27" i="10"/>
  <c r="C28" i="10"/>
  <c r="D28" i="10"/>
  <c r="E28" i="10"/>
  <c r="F28" i="10"/>
  <c r="G28" i="10"/>
  <c r="H28" i="10"/>
  <c r="I28" i="10"/>
  <c r="J28" i="10"/>
  <c r="K28" i="10"/>
  <c r="L28" i="10"/>
  <c r="M28" i="10"/>
  <c r="C29" i="10"/>
  <c r="D29" i="10"/>
  <c r="E29" i="10"/>
  <c r="F29" i="10"/>
  <c r="G29" i="10"/>
  <c r="H29" i="10"/>
  <c r="I29" i="10"/>
  <c r="J29" i="10"/>
  <c r="K29" i="10"/>
  <c r="L29" i="10"/>
  <c r="M29" i="10"/>
  <c r="C30" i="10"/>
  <c r="D30" i="10"/>
  <c r="E30" i="10"/>
  <c r="F30" i="10"/>
  <c r="G30" i="10"/>
  <c r="H30" i="10"/>
  <c r="I30" i="10"/>
  <c r="J30" i="10"/>
  <c r="K30" i="10"/>
  <c r="L30" i="10"/>
  <c r="M30" i="10"/>
  <c r="C31" i="10"/>
  <c r="D31" i="10"/>
  <c r="E31" i="10"/>
  <c r="F31" i="10"/>
  <c r="G31" i="10"/>
  <c r="H31" i="10"/>
  <c r="I31" i="10"/>
  <c r="J31" i="10"/>
  <c r="K31" i="10"/>
  <c r="L31" i="10"/>
  <c r="M31" i="10"/>
  <c r="C32" i="10"/>
  <c r="D32" i="10"/>
  <c r="E32" i="10"/>
  <c r="F32" i="10"/>
  <c r="G32" i="10"/>
  <c r="H32" i="10"/>
  <c r="I32" i="10"/>
  <c r="J32" i="10"/>
  <c r="K32" i="10"/>
  <c r="L32" i="10"/>
  <c r="M32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18" i="10"/>
  <c r="C10" i="10"/>
  <c r="D10" i="10"/>
  <c r="E10" i="10"/>
  <c r="F10" i="10"/>
  <c r="G10" i="10"/>
  <c r="H10" i="10"/>
  <c r="I10" i="10"/>
  <c r="J10" i="10"/>
  <c r="K10" i="10"/>
  <c r="L10" i="10"/>
  <c r="M10" i="10"/>
  <c r="B10" i="10"/>
  <c r="C18" i="9"/>
  <c r="D18" i="9"/>
  <c r="E18" i="9"/>
  <c r="F18" i="9"/>
  <c r="G18" i="9"/>
  <c r="H18" i="9"/>
  <c r="I18" i="9"/>
  <c r="J18" i="9"/>
  <c r="K18" i="9"/>
  <c r="L18" i="9"/>
  <c r="M18" i="9"/>
  <c r="C19" i="9"/>
  <c r="D19" i="9"/>
  <c r="E19" i="9"/>
  <c r="F19" i="9"/>
  <c r="G19" i="9"/>
  <c r="H19" i="9"/>
  <c r="I19" i="9"/>
  <c r="J19" i="9"/>
  <c r="K19" i="9"/>
  <c r="L19" i="9"/>
  <c r="M19" i="9"/>
  <c r="D20" i="9"/>
  <c r="E20" i="9"/>
  <c r="F20" i="9"/>
  <c r="G20" i="9"/>
  <c r="H20" i="9"/>
  <c r="I20" i="9"/>
  <c r="J20" i="9"/>
  <c r="K20" i="9"/>
  <c r="L20" i="9"/>
  <c r="M20" i="9"/>
  <c r="C21" i="9"/>
  <c r="D21" i="9"/>
  <c r="E21" i="9"/>
  <c r="F21" i="9"/>
  <c r="G21" i="9"/>
  <c r="H21" i="9"/>
  <c r="I21" i="9"/>
  <c r="J21" i="9"/>
  <c r="K21" i="9"/>
  <c r="L21" i="9"/>
  <c r="M21" i="9"/>
  <c r="C22" i="9"/>
  <c r="D22" i="9"/>
  <c r="E22" i="9"/>
  <c r="F22" i="9"/>
  <c r="G22" i="9"/>
  <c r="H22" i="9"/>
  <c r="I22" i="9"/>
  <c r="J22" i="9"/>
  <c r="K22" i="9"/>
  <c r="L22" i="9"/>
  <c r="M22" i="9"/>
  <c r="C23" i="9"/>
  <c r="D23" i="9"/>
  <c r="E23" i="9"/>
  <c r="F23" i="9"/>
  <c r="G23" i="9"/>
  <c r="H23" i="9"/>
  <c r="I23" i="9"/>
  <c r="J23" i="9"/>
  <c r="K23" i="9"/>
  <c r="L23" i="9"/>
  <c r="M23" i="9"/>
  <c r="C24" i="9"/>
  <c r="D24" i="9"/>
  <c r="E24" i="9"/>
  <c r="F24" i="9"/>
  <c r="G24" i="9"/>
  <c r="H24" i="9"/>
  <c r="I24" i="9"/>
  <c r="J24" i="9"/>
  <c r="K24" i="9"/>
  <c r="L24" i="9"/>
  <c r="M24" i="9"/>
  <c r="C25" i="9"/>
  <c r="D25" i="9"/>
  <c r="E25" i="9"/>
  <c r="F25" i="9"/>
  <c r="G25" i="9"/>
  <c r="H25" i="9"/>
  <c r="I25" i="9"/>
  <c r="J25" i="9"/>
  <c r="K25" i="9"/>
  <c r="L25" i="9"/>
  <c r="M25" i="9"/>
  <c r="C26" i="9"/>
  <c r="D26" i="9"/>
  <c r="E26" i="9"/>
  <c r="F26" i="9"/>
  <c r="G26" i="9"/>
  <c r="H26" i="9"/>
  <c r="I26" i="9"/>
  <c r="J26" i="9"/>
  <c r="K26" i="9"/>
  <c r="L26" i="9"/>
  <c r="M26" i="9"/>
  <c r="C27" i="9"/>
  <c r="D27" i="9"/>
  <c r="E27" i="9"/>
  <c r="F27" i="9"/>
  <c r="G27" i="9"/>
  <c r="H27" i="9"/>
  <c r="I27" i="9"/>
  <c r="J27" i="9"/>
  <c r="K27" i="9"/>
  <c r="L27" i="9"/>
  <c r="M27" i="9"/>
  <c r="C28" i="9"/>
  <c r="D28" i="9"/>
  <c r="E28" i="9"/>
  <c r="F28" i="9"/>
  <c r="G28" i="9"/>
  <c r="H28" i="9"/>
  <c r="I28" i="9"/>
  <c r="J28" i="9"/>
  <c r="K28" i="9"/>
  <c r="L28" i="9"/>
  <c r="M28" i="9"/>
  <c r="C29" i="9"/>
  <c r="D29" i="9"/>
  <c r="E29" i="9"/>
  <c r="F29" i="9"/>
  <c r="G29" i="9"/>
  <c r="H29" i="9"/>
  <c r="I29" i="9"/>
  <c r="J29" i="9"/>
  <c r="K29" i="9"/>
  <c r="L29" i="9"/>
  <c r="M29" i="9"/>
  <c r="C30" i="9"/>
  <c r="D30" i="9"/>
  <c r="E30" i="9"/>
  <c r="F30" i="9"/>
  <c r="G30" i="9"/>
  <c r="H30" i="9"/>
  <c r="I30" i="9"/>
  <c r="J30" i="9"/>
  <c r="K30" i="9"/>
  <c r="L30" i="9"/>
  <c r="M30" i="9"/>
  <c r="C31" i="9"/>
  <c r="D31" i="9"/>
  <c r="E31" i="9"/>
  <c r="F31" i="9"/>
  <c r="G31" i="9"/>
  <c r="H31" i="9"/>
  <c r="I31" i="9"/>
  <c r="J31" i="9"/>
  <c r="K31" i="9"/>
  <c r="L31" i="9"/>
  <c r="M31" i="9"/>
  <c r="C32" i="9"/>
  <c r="D32" i="9"/>
  <c r="E32" i="9"/>
  <c r="F32" i="9"/>
  <c r="G32" i="9"/>
  <c r="H32" i="9"/>
  <c r="I32" i="9"/>
  <c r="J32" i="9"/>
  <c r="K32" i="9"/>
  <c r="L32" i="9"/>
  <c r="M32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18" i="9"/>
  <c r="C10" i="9"/>
  <c r="D10" i="9"/>
  <c r="E10" i="9"/>
  <c r="F10" i="9"/>
  <c r="G10" i="9"/>
  <c r="H10" i="9"/>
  <c r="I10" i="9"/>
  <c r="J10" i="9"/>
  <c r="K10" i="9"/>
  <c r="L10" i="9"/>
  <c r="M10" i="9"/>
  <c r="B10" i="9"/>
  <c r="D18" i="8"/>
  <c r="E18" i="8"/>
  <c r="F18" i="8"/>
  <c r="G18" i="8"/>
  <c r="H18" i="8"/>
  <c r="I18" i="8"/>
  <c r="J18" i="8"/>
  <c r="K18" i="8"/>
  <c r="L18" i="8"/>
  <c r="M18" i="8"/>
  <c r="N18" i="8"/>
  <c r="D19" i="8"/>
  <c r="E19" i="8"/>
  <c r="F19" i="8"/>
  <c r="G19" i="8"/>
  <c r="H19" i="8"/>
  <c r="I19" i="8"/>
  <c r="J19" i="8"/>
  <c r="K19" i="8"/>
  <c r="L19" i="8"/>
  <c r="M19" i="8"/>
  <c r="N19" i="8"/>
  <c r="D20" i="8"/>
  <c r="E20" i="8"/>
  <c r="F20" i="8"/>
  <c r="G20" i="8"/>
  <c r="H20" i="8"/>
  <c r="I20" i="8"/>
  <c r="J20" i="8"/>
  <c r="K20" i="8"/>
  <c r="L20" i="8"/>
  <c r="M20" i="8"/>
  <c r="N20" i="8"/>
  <c r="D21" i="8"/>
  <c r="E21" i="8"/>
  <c r="F21" i="8"/>
  <c r="G21" i="8"/>
  <c r="H21" i="8"/>
  <c r="I21" i="8"/>
  <c r="J21" i="8"/>
  <c r="K21" i="8"/>
  <c r="L21" i="8"/>
  <c r="M21" i="8"/>
  <c r="N21" i="8"/>
  <c r="D22" i="8"/>
  <c r="E22" i="8"/>
  <c r="F22" i="8"/>
  <c r="G22" i="8"/>
  <c r="H22" i="8"/>
  <c r="I22" i="8"/>
  <c r="J22" i="8"/>
  <c r="K22" i="8"/>
  <c r="L22" i="8"/>
  <c r="M22" i="8"/>
  <c r="N22" i="8"/>
  <c r="D23" i="8"/>
  <c r="E23" i="8"/>
  <c r="F23" i="8"/>
  <c r="G23" i="8"/>
  <c r="H23" i="8"/>
  <c r="I23" i="8"/>
  <c r="J23" i="8"/>
  <c r="K23" i="8"/>
  <c r="L23" i="8"/>
  <c r="M23" i="8"/>
  <c r="N23" i="8"/>
  <c r="D24" i="8"/>
  <c r="E24" i="8"/>
  <c r="F24" i="8"/>
  <c r="G24" i="8"/>
  <c r="H24" i="8"/>
  <c r="I24" i="8"/>
  <c r="J24" i="8"/>
  <c r="K24" i="8"/>
  <c r="L24" i="8"/>
  <c r="M24" i="8"/>
  <c r="N24" i="8"/>
  <c r="D25" i="8"/>
  <c r="E25" i="8"/>
  <c r="F25" i="8"/>
  <c r="G25" i="8"/>
  <c r="H25" i="8"/>
  <c r="I25" i="8"/>
  <c r="J25" i="8"/>
  <c r="K25" i="8"/>
  <c r="L25" i="8"/>
  <c r="M25" i="8"/>
  <c r="N25" i="8"/>
  <c r="D26" i="8"/>
  <c r="E26" i="8"/>
  <c r="F26" i="8"/>
  <c r="G26" i="8"/>
  <c r="H26" i="8"/>
  <c r="I26" i="8"/>
  <c r="J26" i="8"/>
  <c r="K26" i="8"/>
  <c r="L26" i="8"/>
  <c r="M26" i="8"/>
  <c r="N26" i="8"/>
  <c r="D27" i="8"/>
  <c r="E27" i="8"/>
  <c r="F27" i="8"/>
  <c r="G27" i="8"/>
  <c r="H27" i="8"/>
  <c r="I27" i="8"/>
  <c r="J27" i="8"/>
  <c r="K27" i="8"/>
  <c r="L27" i="8"/>
  <c r="M27" i="8"/>
  <c r="N27" i="8"/>
  <c r="D28" i="8"/>
  <c r="E28" i="8"/>
  <c r="F28" i="8"/>
  <c r="G28" i="8"/>
  <c r="H28" i="8"/>
  <c r="I28" i="8"/>
  <c r="J28" i="8"/>
  <c r="K28" i="8"/>
  <c r="L28" i="8"/>
  <c r="M28" i="8"/>
  <c r="N28" i="8"/>
  <c r="D29" i="8"/>
  <c r="E29" i="8"/>
  <c r="F29" i="8"/>
  <c r="G29" i="8"/>
  <c r="H29" i="8"/>
  <c r="I29" i="8"/>
  <c r="J29" i="8"/>
  <c r="K29" i="8"/>
  <c r="L29" i="8"/>
  <c r="M29" i="8"/>
  <c r="N29" i="8"/>
  <c r="D30" i="8"/>
  <c r="E30" i="8"/>
  <c r="F30" i="8"/>
  <c r="G30" i="8"/>
  <c r="H30" i="8"/>
  <c r="I30" i="8"/>
  <c r="J30" i="8"/>
  <c r="K30" i="8"/>
  <c r="L30" i="8"/>
  <c r="M30" i="8"/>
  <c r="N30" i="8"/>
  <c r="D31" i="8"/>
  <c r="E31" i="8"/>
  <c r="F31" i="8"/>
  <c r="G31" i="8"/>
  <c r="H31" i="8"/>
  <c r="I31" i="8"/>
  <c r="J31" i="8"/>
  <c r="K31" i="8"/>
  <c r="L31" i="8"/>
  <c r="M31" i="8"/>
  <c r="N31" i="8"/>
  <c r="D32" i="8"/>
  <c r="E32" i="8"/>
  <c r="F32" i="8"/>
  <c r="G32" i="8"/>
  <c r="H32" i="8"/>
  <c r="I32" i="8"/>
  <c r="J32" i="8"/>
  <c r="K32" i="8"/>
  <c r="L32" i="8"/>
  <c r="M32" i="8"/>
  <c r="N32" i="8"/>
  <c r="C22" i="8"/>
  <c r="C23" i="8"/>
  <c r="C24" i="8"/>
  <c r="C25" i="8"/>
  <c r="C26" i="8"/>
  <c r="C27" i="8"/>
  <c r="C28" i="8"/>
  <c r="C29" i="8"/>
  <c r="C30" i="8"/>
  <c r="C31" i="8"/>
  <c r="C32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18" i="8"/>
  <c r="B21" i="7"/>
  <c r="C21" i="7"/>
  <c r="D21" i="7"/>
  <c r="E21" i="7"/>
  <c r="F21" i="7"/>
  <c r="G21" i="7"/>
  <c r="H21" i="7"/>
  <c r="I21" i="7"/>
  <c r="J21" i="7"/>
  <c r="K21" i="7"/>
  <c r="L21" i="7"/>
  <c r="M21" i="7"/>
  <c r="C22" i="7"/>
  <c r="D22" i="7"/>
  <c r="E22" i="7"/>
  <c r="F22" i="7"/>
  <c r="G22" i="7"/>
  <c r="H22" i="7"/>
  <c r="I22" i="7"/>
  <c r="J22" i="7"/>
  <c r="K22" i="7"/>
  <c r="L22" i="7"/>
  <c r="M22" i="7"/>
  <c r="C23" i="7"/>
  <c r="D23" i="7"/>
  <c r="E23" i="7"/>
  <c r="F23" i="7"/>
  <c r="G23" i="7"/>
  <c r="H23" i="7"/>
  <c r="I23" i="7"/>
  <c r="J23" i="7"/>
  <c r="K23" i="7"/>
  <c r="L23" i="7"/>
  <c r="M23" i="7"/>
  <c r="C24" i="7"/>
  <c r="D24" i="7"/>
  <c r="E24" i="7"/>
  <c r="F24" i="7"/>
  <c r="G24" i="7"/>
  <c r="H24" i="7"/>
  <c r="I24" i="7"/>
  <c r="J24" i="7"/>
  <c r="K24" i="7"/>
  <c r="L24" i="7"/>
  <c r="M24" i="7"/>
  <c r="B25" i="7"/>
  <c r="C25" i="7"/>
  <c r="D25" i="7"/>
  <c r="E25" i="7"/>
  <c r="F25" i="7"/>
  <c r="G25" i="7"/>
  <c r="H25" i="7"/>
  <c r="I25" i="7"/>
  <c r="J25" i="7"/>
  <c r="K25" i="7"/>
  <c r="L25" i="7"/>
  <c r="M25" i="7"/>
  <c r="B26" i="7"/>
  <c r="C26" i="7"/>
  <c r="D26" i="7"/>
  <c r="E26" i="7"/>
  <c r="F26" i="7"/>
  <c r="G26" i="7"/>
  <c r="H26" i="7"/>
  <c r="I26" i="7"/>
  <c r="J26" i="7"/>
  <c r="K26" i="7"/>
  <c r="L26" i="7"/>
  <c r="M26" i="7"/>
  <c r="B27" i="7"/>
  <c r="C27" i="7"/>
  <c r="D27" i="7"/>
  <c r="E27" i="7"/>
  <c r="F27" i="7"/>
  <c r="G27" i="7"/>
  <c r="H27" i="7"/>
  <c r="I27" i="7"/>
  <c r="J27" i="7"/>
  <c r="K27" i="7"/>
  <c r="L27" i="7"/>
  <c r="M27" i="7"/>
  <c r="B28" i="7"/>
  <c r="C28" i="7"/>
  <c r="D28" i="7"/>
  <c r="E28" i="7"/>
  <c r="F28" i="7"/>
  <c r="G28" i="7"/>
  <c r="H28" i="7"/>
  <c r="I28" i="7"/>
  <c r="J28" i="7"/>
  <c r="K28" i="7"/>
  <c r="L28" i="7"/>
  <c r="M28" i="7"/>
  <c r="B29" i="7"/>
  <c r="C29" i="7"/>
  <c r="D29" i="7"/>
  <c r="E29" i="7"/>
  <c r="F29" i="7"/>
  <c r="G29" i="7"/>
  <c r="H29" i="7"/>
  <c r="I29" i="7"/>
  <c r="J29" i="7"/>
  <c r="K29" i="7"/>
  <c r="L29" i="7"/>
  <c r="M29" i="7"/>
  <c r="B30" i="7"/>
  <c r="C30" i="7"/>
  <c r="D30" i="7"/>
  <c r="E30" i="7"/>
  <c r="F30" i="7"/>
  <c r="G30" i="7"/>
  <c r="H30" i="7"/>
  <c r="I30" i="7"/>
  <c r="J30" i="7"/>
  <c r="K30" i="7"/>
  <c r="L30" i="7"/>
  <c r="M30" i="7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B21" i="6"/>
  <c r="C21" i="6"/>
  <c r="D21" i="6"/>
  <c r="E21" i="6"/>
  <c r="F21" i="6"/>
  <c r="G21" i="6"/>
  <c r="H21" i="6"/>
  <c r="I21" i="6"/>
  <c r="J21" i="6"/>
  <c r="K21" i="6"/>
  <c r="L21" i="6"/>
  <c r="M21" i="6"/>
  <c r="C22" i="6"/>
  <c r="D22" i="6"/>
  <c r="E22" i="6"/>
  <c r="F22" i="6"/>
  <c r="G22" i="6"/>
  <c r="H22" i="6"/>
  <c r="I22" i="6"/>
  <c r="J22" i="6"/>
  <c r="K22" i="6"/>
  <c r="L22" i="6"/>
  <c r="M22" i="6"/>
  <c r="C23" i="6"/>
  <c r="D23" i="6"/>
  <c r="E23" i="6"/>
  <c r="F23" i="6"/>
  <c r="G23" i="6"/>
  <c r="H23" i="6"/>
  <c r="I23" i="6"/>
  <c r="J23" i="6"/>
  <c r="K23" i="6"/>
  <c r="L23" i="6"/>
  <c r="M23" i="6"/>
  <c r="C24" i="6"/>
  <c r="D24" i="6"/>
  <c r="E24" i="6"/>
  <c r="F24" i="6"/>
  <c r="G24" i="6"/>
  <c r="H24" i="6"/>
  <c r="I24" i="6"/>
  <c r="J24" i="6"/>
  <c r="K24" i="6"/>
  <c r="L24" i="6"/>
  <c r="M24" i="6"/>
  <c r="B25" i="6"/>
  <c r="C25" i="6"/>
  <c r="D25" i="6"/>
  <c r="E25" i="6"/>
  <c r="F25" i="6"/>
  <c r="G25" i="6"/>
  <c r="H25" i="6"/>
  <c r="I25" i="6"/>
  <c r="J25" i="6"/>
  <c r="K25" i="6"/>
  <c r="L25" i="6"/>
  <c r="M25" i="6"/>
  <c r="B26" i="6"/>
  <c r="C26" i="6"/>
  <c r="D26" i="6"/>
  <c r="E26" i="6"/>
  <c r="F26" i="6"/>
  <c r="G26" i="6"/>
  <c r="H26" i="6"/>
  <c r="I26" i="6"/>
  <c r="J26" i="6"/>
  <c r="K26" i="6"/>
  <c r="L26" i="6"/>
  <c r="M26" i="6"/>
  <c r="B27" i="6"/>
  <c r="C27" i="6"/>
  <c r="D27" i="6"/>
  <c r="E27" i="6"/>
  <c r="F27" i="6"/>
  <c r="G27" i="6"/>
  <c r="H27" i="6"/>
  <c r="I27" i="6"/>
  <c r="J27" i="6"/>
  <c r="K27" i="6"/>
  <c r="L27" i="6"/>
  <c r="M27" i="6"/>
  <c r="B28" i="6"/>
  <c r="C28" i="6"/>
  <c r="D28" i="6"/>
  <c r="E28" i="6"/>
  <c r="F28" i="6"/>
  <c r="G28" i="6"/>
  <c r="H28" i="6"/>
  <c r="I28" i="6"/>
  <c r="J28" i="6"/>
  <c r="K28" i="6"/>
  <c r="L28" i="6"/>
  <c r="M28" i="6"/>
  <c r="B29" i="6"/>
  <c r="C29" i="6"/>
  <c r="D29" i="6"/>
  <c r="E29" i="6"/>
  <c r="F29" i="6"/>
  <c r="G29" i="6"/>
  <c r="H29" i="6"/>
  <c r="I29" i="6"/>
  <c r="J29" i="6"/>
  <c r="K29" i="6"/>
  <c r="L29" i="6"/>
  <c r="M29" i="6"/>
  <c r="B30" i="6"/>
  <c r="C30" i="6"/>
  <c r="D30" i="6"/>
  <c r="E30" i="6"/>
  <c r="F30" i="6"/>
  <c r="G30" i="6"/>
  <c r="H30" i="6"/>
  <c r="I30" i="6"/>
  <c r="J30" i="6"/>
  <c r="K30" i="6"/>
  <c r="L30" i="6"/>
  <c r="M30" i="6"/>
  <c r="B31" i="6"/>
  <c r="C31" i="6"/>
  <c r="D31" i="6"/>
  <c r="E31" i="6"/>
  <c r="F31" i="6"/>
  <c r="G31" i="6"/>
  <c r="H31" i="6"/>
  <c r="I31" i="6"/>
  <c r="J31" i="6"/>
  <c r="K31" i="6"/>
  <c r="L31" i="6"/>
  <c r="M31" i="6"/>
  <c r="B32" i="6"/>
  <c r="C32" i="6"/>
  <c r="D32" i="6"/>
  <c r="E32" i="6"/>
  <c r="F32" i="6"/>
  <c r="G32" i="6"/>
  <c r="H32" i="6"/>
  <c r="I32" i="6"/>
  <c r="J32" i="6"/>
  <c r="K32" i="6"/>
  <c r="L32" i="6"/>
  <c r="M32" i="6"/>
  <c r="B33" i="6"/>
  <c r="C33" i="6"/>
  <c r="D33" i="6"/>
  <c r="E33" i="6"/>
  <c r="F33" i="6"/>
  <c r="G33" i="6"/>
  <c r="H33" i="6"/>
  <c r="I33" i="6"/>
  <c r="J33" i="6"/>
  <c r="K33" i="6"/>
  <c r="L33" i="6"/>
  <c r="M33" i="6"/>
  <c r="B34" i="6"/>
  <c r="C34" i="6"/>
  <c r="D34" i="6"/>
  <c r="E34" i="6"/>
  <c r="F34" i="6"/>
  <c r="G34" i="6"/>
  <c r="H34" i="6"/>
  <c r="I34" i="6"/>
  <c r="J34" i="6"/>
  <c r="K34" i="6"/>
  <c r="L34" i="6"/>
  <c r="M34" i="6"/>
  <c r="B35" i="6"/>
  <c r="C35" i="6"/>
  <c r="D35" i="6"/>
  <c r="E35" i="6"/>
  <c r="F35" i="6"/>
  <c r="G35" i="6"/>
  <c r="H35" i="6"/>
  <c r="I35" i="6"/>
  <c r="J35" i="6"/>
  <c r="K35" i="6"/>
  <c r="L35" i="6"/>
  <c r="M35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C21" i="5"/>
  <c r="D21" i="5"/>
  <c r="E21" i="5"/>
  <c r="F21" i="5"/>
  <c r="G21" i="5"/>
  <c r="H21" i="5"/>
  <c r="I21" i="5"/>
  <c r="J21" i="5"/>
  <c r="K21" i="5"/>
  <c r="L21" i="5"/>
  <c r="M21" i="5"/>
  <c r="C22" i="5"/>
  <c r="D22" i="5"/>
  <c r="E22" i="5"/>
  <c r="F22" i="5"/>
  <c r="G22" i="5"/>
  <c r="H22" i="5"/>
  <c r="I22" i="5"/>
  <c r="J22" i="5"/>
  <c r="K22" i="5"/>
  <c r="L22" i="5"/>
  <c r="M22" i="5"/>
  <c r="C23" i="5"/>
  <c r="D23" i="5"/>
  <c r="E23" i="5"/>
  <c r="F23" i="5"/>
  <c r="G23" i="5"/>
  <c r="H23" i="5"/>
  <c r="I23" i="5"/>
  <c r="J23" i="5"/>
  <c r="K23" i="5"/>
  <c r="L23" i="5"/>
  <c r="M23" i="5"/>
  <c r="C24" i="5"/>
  <c r="D24" i="5"/>
  <c r="E24" i="5"/>
  <c r="F24" i="5"/>
  <c r="G24" i="5"/>
  <c r="H24" i="5"/>
  <c r="I24" i="5"/>
  <c r="J24" i="5"/>
  <c r="K24" i="5"/>
  <c r="L24" i="5"/>
  <c r="M24" i="5"/>
  <c r="C25" i="5"/>
  <c r="D25" i="5"/>
  <c r="E25" i="5"/>
  <c r="F25" i="5"/>
  <c r="G25" i="5"/>
  <c r="H25" i="5"/>
  <c r="I25" i="5"/>
  <c r="J25" i="5"/>
  <c r="K25" i="5"/>
  <c r="L25" i="5"/>
  <c r="M25" i="5"/>
  <c r="C26" i="5"/>
  <c r="D26" i="5"/>
  <c r="E26" i="5"/>
  <c r="F26" i="5"/>
  <c r="G26" i="5"/>
  <c r="H26" i="5"/>
  <c r="I26" i="5"/>
  <c r="J26" i="5"/>
  <c r="K26" i="5"/>
  <c r="L26" i="5"/>
  <c r="M26" i="5"/>
  <c r="C27" i="5"/>
  <c r="D27" i="5"/>
  <c r="E27" i="5"/>
  <c r="F27" i="5"/>
  <c r="G27" i="5"/>
  <c r="H27" i="5"/>
  <c r="I27" i="5"/>
  <c r="J27" i="5"/>
  <c r="K27" i="5"/>
  <c r="L27" i="5"/>
  <c r="M27" i="5"/>
  <c r="C28" i="5"/>
  <c r="D28" i="5"/>
  <c r="E28" i="5"/>
  <c r="F28" i="5"/>
  <c r="G28" i="5"/>
  <c r="H28" i="5"/>
  <c r="I28" i="5"/>
  <c r="J28" i="5"/>
  <c r="K28" i="5"/>
  <c r="L28" i="5"/>
  <c r="M28" i="5"/>
  <c r="C29" i="5"/>
  <c r="D29" i="5"/>
  <c r="E29" i="5"/>
  <c r="F29" i="5"/>
  <c r="G29" i="5"/>
  <c r="H29" i="5"/>
  <c r="I29" i="5"/>
  <c r="J29" i="5"/>
  <c r="K29" i="5"/>
  <c r="L29" i="5"/>
  <c r="M29" i="5"/>
  <c r="C30" i="5"/>
  <c r="D30" i="5"/>
  <c r="E30" i="5"/>
  <c r="F30" i="5"/>
  <c r="G30" i="5"/>
  <c r="H30" i="5"/>
  <c r="I30" i="5"/>
  <c r="J30" i="5"/>
  <c r="K30" i="5"/>
  <c r="L30" i="5"/>
  <c r="M30" i="5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C35" i="5"/>
  <c r="D35" i="5"/>
  <c r="E35" i="5"/>
  <c r="F35" i="5"/>
  <c r="G35" i="5"/>
  <c r="H35" i="5"/>
  <c r="I35" i="5"/>
  <c r="J35" i="5"/>
  <c r="K35" i="5"/>
  <c r="L35" i="5"/>
  <c r="M35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D10" i="8"/>
  <c r="E10" i="8"/>
  <c r="F10" i="8"/>
  <c r="G10" i="8"/>
  <c r="H10" i="8"/>
  <c r="I10" i="8"/>
  <c r="J10" i="8"/>
  <c r="K10" i="8"/>
  <c r="L10" i="8"/>
  <c r="M10" i="8"/>
  <c r="N10" i="8"/>
  <c r="C10" i="8"/>
  <c r="B42" i="19"/>
  <c r="B37" i="1" s="1"/>
  <c r="B32" i="19"/>
  <c r="B26" i="1" s="1"/>
  <c r="B29" i="19"/>
  <c r="B36" i="1" s="1"/>
  <c r="B25" i="19"/>
  <c r="B23" i="1" s="1"/>
  <c r="B15" i="19"/>
  <c r="B35" i="1" s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B24" i="7" l="1"/>
  <c r="B24" i="5"/>
  <c r="B24" i="6"/>
  <c r="N36" i="1"/>
  <c r="Z36" i="1"/>
  <c r="C20" i="8"/>
  <c r="B23" i="7"/>
  <c r="B23" i="5"/>
  <c r="B23" i="6"/>
  <c r="C19" i="8"/>
  <c r="B22" i="6"/>
  <c r="B22" i="5"/>
  <c r="B22" i="7"/>
  <c r="C21" i="8"/>
  <c r="C8" i="7"/>
  <c r="D8" i="7"/>
  <c r="E8" i="7"/>
  <c r="F8" i="7"/>
  <c r="G8" i="7"/>
  <c r="H8" i="7"/>
  <c r="I8" i="7"/>
  <c r="J8" i="7"/>
  <c r="K8" i="7"/>
  <c r="L8" i="7"/>
  <c r="M8" i="7"/>
  <c r="B8" i="7"/>
  <c r="C8" i="6"/>
  <c r="D8" i="6"/>
  <c r="E8" i="6"/>
  <c r="F8" i="6"/>
  <c r="G8" i="6"/>
  <c r="H8" i="6"/>
  <c r="I8" i="6"/>
  <c r="J8" i="6"/>
  <c r="K8" i="6"/>
  <c r="L8" i="6"/>
  <c r="M8" i="6"/>
  <c r="B8" i="6"/>
  <c r="C8" i="5"/>
  <c r="D8" i="5"/>
  <c r="E8" i="5"/>
  <c r="F8" i="5"/>
  <c r="G8" i="5"/>
  <c r="H8" i="5"/>
  <c r="I8" i="5"/>
  <c r="J8" i="5"/>
  <c r="K8" i="5"/>
  <c r="L8" i="5"/>
  <c r="M8" i="5"/>
  <c r="B8" i="5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B58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B57" i="1"/>
  <c r="C78" i="18"/>
  <c r="D78" i="18" s="1"/>
  <c r="E78" i="18" s="1"/>
  <c r="F78" i="18" s="1"/>
  <c r="G78" i="18" s="1"/>
  <c r="H78" i="18" s="1"/>
  <c r="I78" i="18" s="1"/>
  <c r="J78" i="18" s="1"/>
  <c r="K78" i="18" s="1"/>
  <c r="L78" i="18" s="1"/>
  <c r="M78" i="18" s="1"/>
  <c r="N78" i="18" s="1"/>
  <c r="O78" i="18" s="1"/>
  <c r="P78" i="18" s="1"/>
  <c r="Q78" i="18" s="1"/>
  <c r="R78" i="18" s="1"/>
  <c r="S78" i="18" s="1"/>
  <c r="T78" i="18" s="1"/>
  <c r="U78" i="18" s="1"/>
  <c r="V78" i="18" s="1"/>
  <c r="W78" i="18" s="1"/>
  <c r="X78" i="18" s="1"/>
  <c r="Y78" i="18" s="1"/>
  <c r="Z78" i="18" s="1"/>
  <c r="AA78" i="18" s="1"/>
  <c r="AB78" i="18" s="1"/>
  <c r="AC78" i="18" s="1"/>
  <c r="AD78" i="18" s="1"/>
  <c r="AE78" i="18" s="1"/>
  <c r="AF78" i="18" s="1"/>
  <c r="AG78" i="18" s="1"/>
  <c r="AH78" i="18" s="1"/>
  <c r="AI78" i="18" s="1"/>
  <c r="AJ78" i="18" s="1"/>
  <c r="AK78" i="18" s="1"/>
  <c r="C82" i="18"/>
  <c r="D82" i="18" s="1"/>
  <c r="E82" i="18" s="1"/>
  <c r="F82" i="18" s="1"/>
  <c r="G82" i="18" s="1"/>
  <c r="H82" i="18" s="1"/>
  <c r="I82" i="18" s="1"/>
  <c r="J82" i="18" s="1"/>
  <c r="K82" i="18" s="1"/>
  <c r="L82" i="18" s="1"/>
  <c r="M82" i="18" s="1"/>
  <c r="N82" i="18" s="1"/>
  <c r="O82" i="18" s="1"/>
  <c r="P82" i="18" s="1"/>
  <c r="Q82" i="18" s="1"/>
  <c r="R82" i="18" s="1"/>
  <c r="S82" i="18" s="1"/>
  <c r="T82" i="18" s="1"/>
  <c r="U82" i="18" s="1"/>
  <c r="V82" i="18" s="1"/>
  <c r="W82" i="18" s="1"/>
  <c r="X82" i="18" s="1"/>
  <c r="Y82" i="18" s="1"/>
  <c r="Z82" i="18" s="1"/>
  <c r="AA82" i="18" s="1"/>
  <c r="AB82" i="18" s="1"/>
  <c r="AC82" i="18" s="1"/>
  <c r="AD82" i="18" s="1"/>
  <c r="AE82" i="18" s="1"/>
  <c r="AF82" i="18" s="1"/>
  <c r="AG82" i="18" s="1"/>
  <c r="AH82" i="18" s="1"/>
  <c r="AI82" i="18" s="1"/>
  <c r="AJ82" i="18" s="1"/>
  <c r="AK82" i="18" s="1"/>
  <c r="C76" i="18"/>
  <c r="D76" i="18" s="1"/>
  <c r="E76" i="18" s="1"/>
  <c r="F76" i="18" s="1"/>
  <c r="G76" i="18" s="1"/>
  <c r="H76" i="18" s="1"/>
  <c r="I76" i="18" s="1"/>
  <c r="J76" i="18" s="1"/>
  <c r="K76" i="18" s="1"/>
  <c r="L76" i="18" s="1"/>
  <c r="M76" i="18" s="1"/>
  <c r="N76" i="18" s="1"/>
  <c r="O76" i="18" s="1"/>
  <c r="P76" i="18" s="1"/>
  <c r="Q76" i="18" s="1"/>
  <c r="R76" i="18" s="1"/>
  <c r="S76" i="18" s="1"/>
  <c r="T76" i="18" s="1"/>
  <c r="U76" i="18" s="1"/>
  <c r="V76" i="18" s="1"/>
  <c r="W76" i="18" s="1"/>
  <c r="X76" i="18" s="1"/>
  <c r="Y76" i="18" s="1"/>
  <c r="Z76" i="18" s="1"/>
  <c r="AA76" i="18" s="1"/>
  <c r="AB76" i="18" s="1"/>
  <c r="AC76" i="18" s="1"/>
  <c r="AD76" i="18" s="1"/>
  <c r="AE76" i="18" s="1"/>
  <c r="AF76" i="18" s="1"/>
  <c r="AG76" i="18" s="1"/>
  <c r="AH76" i="18" s="1"/>
  <c r="AI76" i="18" s="1"/>
  <c r="AJ76" i="18" s="1"/>
  <c r="AK76" i="18" s="1"/>
  <c r="C48" i="18"/>
  <c r="D48" i="18" s="1"/>
  <c r="E48" i="18" s="1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B47" i="18"/>
  <c r="B50" i="18" s="1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B42" i="18"/>
  <c r="B45" i="18" s="1"/>
  <c r="C43" i="18"/>
  <c r="C45" i="18" s="1"/>
  <c r="C72" i="18"/>
  <c r="D72" i="18" s="1"/>
  <c r="E72" i="18" s="1"/>
  <c r="F72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T72" i="18" s="1"/>
  <c r="U72" i="18" s="1"/>
  <c r="V72" i="18" s="1"/>
  <c r="W72" i="18" s="1"/>
  <c r="X72" i="18" s="1"/>
  <c r="Y72" i="18" s="1"/>
  <c r="Z72" i="18" s="1"/>
  <c r="AA72" i="18" s="1"/>
  <c r="AB72" i="18" s="1"/>
  <c r="AC72" i="18" s="1"/>
  <c r="AD72" i="18" s="1"/>
  <c r="AE72" i="18" s="1"/>
  <c r="AF72" i="18" s="1"/>
  <c r="AG72" i="18" s="1"/>
  <c r="AH72" i="18" s="1"/>
  <c r="AI72" i="18" s="1"/>
  <c r="AJ72" i="18" s="1"/>
  <c r="AK72" i="18" s="1"/>
  <c r="C69" i="18"/>
  <c r="B67" i="18"/>
  <c r="C65" i="18"/>
  <c r="C67" i="18" s="1"/>
  <c r="C20" i="9" l="1"/>
  <c r="B20" i="9"/>
  <c r="C20" i="10"/>
  <c r="B20" i="10"/>
  <c r="D50" i="18"/>
  <c r="C50" i="18"/>
  <c r="F48" i="18"/>
  <c r="E50" i="18"/>
  <c r="D43" i="18"/>
  <c r="D69" i="18"/>
  <c r="D65" i="18"/>
  <c r="C59" i="18"/>
  <c r="D59" i="18" s="1"/>
  <c r="E59" i="18" s="1"/>
  <c r="F59" i="18" s="1"/>
  <c r="G59" i="18" s="1"/>
  <c r="H59" i="18" s="1"/>
  <c r="I59" i="18" s="1"/>
  <c r="J59" i="18" s="1"/>
  <c r="K59" i="18" s="1"/>
  <c r="L59" i="18" s="1"/>
  <c r="M59" i="18" s="1"/>
  <c r="N59" i="18" s="1"/>
  <c r="O59" i="18" s="1"/>
  <c r="P59" i="18" s="1"/>
  <c r="Q59" i="18" s="1"/>
  <c r="R59" i="18" s="1"/>
  <c r="S59" i="18" s="1"/>
  <c r="T59" i="18" s="1"/>
  <c r="U59" i="18" s="1"/>
  <c r="V59" i="18" s="1"/>
  <c r="W59" i="18" s="1"/>
  <c r="X59" i="18" s="1"/>
  <c r="Y59" i="18" s="1"/>
  <c r="Z59" i="18" s="1"/>
  <c r="AA59" i="18" s="1"/>
  <c r="AB59" i="18" s="1"/>
  <c r="AC59" i="18" s="1"/>
  <c r="AD59" i="18" s="1"/>
  <c r="AE59" i="18" s="1"/>
  <c r="AF59" i="18" s="1"/>
  <c r="AG59" i="18" s="1"/>
  <c r="AH59" i="18" s="1"/>
  <c r="AI59" i="18" s="1"/>
  <c r="AJ59" i="18" s="1"/>
  <c r="AK59" i="18" s="1"/>
  <c r="B58" i="18"/>
  <c r="B61" i="18" s="1"/>
  <c r="C55" i="18"/>
  <c r="C58" i="18" s="1"/>
  <c r="C53" i="18"/>
  <c r="C38" i="18"/>
  <c r="D38" i="18" s="1"/>
  <c r="E38" i="18" s="1"/>
  <c r="F38" i="18" s="1"/>
  <c r="G38" i="18" s="1"/>
  <c r="H38" i="18" s="1"/>
  <c r="I38" i="18" s="1"/>
  <c r="J38" i="18" s="1"/>
  <c r="K38" i="18" s="1"/>
  <c r="L38" i="18" s="1"/>
  <c r="M38" i="18" s="1"/>
  <c r="N38" i="18" s="1"/>
  <c r="O38" i="18" s="1"/>
  <c r="P38" i="18" s="1"/>
  <c r="Q38" i="18" s="1"/>
  <c r="R38" i="18" s="1"/>
  <c r="S38" i="18" s="1"/>
  <c r="T38" i="18" s="1"/>
  <c r="U38" i="18" s="1"/>
  <c r="V38" i="18" s="1"/>
  <c r="W38" i="18" s="1"/>
  <c r="X38" i="18" s="1"/>
  <c r="Y38" i="18" s="1"/>
  <c r="Z38" i="18" s="1"/>
  <c r="AA38" i="18" s="1"/>
  <c r="AB38" i="18" s="1"/>
  <c r="AC38" i="18" s="1"/>
  <c r="AD38" i="18" s="1"/>
  <c r="AE38" i="18" s="1"/>
  <c r="AF38" i="18" s="1"/>
  <c r="AG38" i="18" s="1"/>
  <c r="AH38" i="18" s="1"/>
  <c r="AI38" i="18" s="1"/>
  <c r="AJ38" i="18" s="1"/>
  <c r="AK38" i="18" s="1"/>
  <c r="C35" i="18"/>
  <c r="D35" i="18" s="1"/>
  <c r="E35" i="18" s="1"/>
  <c r="F35" i="18" s="1"/>
  <c r="G35" i="18" s="1"/>
  <c r="H35" i="18" s="1"/>
  <c r="I35" i="18" s="1"/>
  <c r="J35" i="18" s="1"/>
  <c r="K35" i="18" s="1"/>
  <c r="L35" i="18" s="1"/>
  <c r="M35" i="18" s="1"/>
  <c r="N35" i="18" s="1"/>
  <c r="O35" i="18" s="1"/>
  <c r="P35" i="18" s="1"/>
  <c r="Q35" i="18" s="1"/>
  <c r="R35" i="18" s="1"/>
  <c r="S35" i="18" s="1"/>
  <c r="T35" i="18" s="1"/>
  <c r="U35" i="18" s="1"/>
  <c r="V35" i="18" s="1"/>
  <c r="W35" i="18" s="1"/>
  <c r="X35" i="18" s="1"/>
  <c r="Y35" i="18" s="1"/>
  <c r="Z35" i="18" s="1"/>
  <c r="AA35" i="18" s="1"/>
  <c r="AB35" i="18" s="1"/>
  <c r="AC35" i="18" s="1"/>
  <c r="AD35" i="18" s="1"/>
  <c r="AE35" i="18" s="1"/>
  <c r="AF35" i="18" s="1"/>
  <c r="AG35" i="18" s="1"/>
  <c r="AH35" i="18" s="1"/>
  <c r="AI35" i="18" s="1"/>
  <c r="AJ35" i="18" s="1"/>
  <c r="AK35" i="18" s="1"/>
  <c r="C33" i="18"/>
  <c r="D33" i="18" s="1"/>
  <c r="E33" i="18" s="1"/>
  <c r="F33" i="18" s="1"/>
  <c r="G33" i="18" s="1"/>
  <c r="H33" i="18" s="1"/>
  <c r="I33" i="18" s="1"/>
  <c r="J33" i="18" s="1"/>
  <c r="K33" i="18" s="1"/>
  <c r="L33" i="18" s="1"/>
  <c r="M33" i="18" s="1"/>
  <c r="N33" i="18" s="1"/>
  <c r="O33" i="18" s="1"/>
  <c r="P33" i="18" s="1"/>
  <c r="Q33" i="18" s="1"/>
  <c r="R33" i="18" s="1"/>
  <c r="S33" i="18" s="1"/>
  <c r="T33" i="18" s="1"/>
  <c r="U33" i="18" s="1"/>
  <c r="V33" i="18" s="1"/>
  <c r="W33" i="18" s="1"/>
  <c r="X33" i="18" s="1"/>
  <c r="Y33" i="18" s="1"/>
  <c r="Z33" i="18" s="1"/>
  <c r="AA33" i="18" s="1"/>
  <c r="AB33" i="18" s="1"/>
  <c r="AC33" i="18" s="1"/>
  <c r="AD33" i="18" s="1"/>
  <c r="AE33" i="18" s="1"/>
  <c r="AF33" i="18" s="1"/>
  <c r="AG33" i="18" s="1"/>
  <c r="AH33" i="18" s="1"/>
  <c r="AI33" i="18" s="1"/>
  <c r="AJ33" i="18" s="1"/>
  <c r="AK33" i="18" s="1"/>
  <c r="C31" i="18"/>
  <c r="D31" i="18" s="1"/>
  <c r="E31" i="18" s="1"/>
  <c r="F31" i="18" s="1"/>
  <c r="G31" i="18" s="1"/>
  <c r="H31" i="18" s="1"/>
  <c r="I31" i="18" s="1"/>
  <c r="J31" i="18" s="1"/>
  <c r="K31" i="18" s="1"/>
  <c r="L31" i="18" s="1"/>
  <c r="M31" i="18" s="1"/>
  <c r="N31" i="18" s="1"/>
  <c r="O31" i="18" s="1"/>
  <c r="P31" i="18" s="1"/>
  <c r="Q31" i="18" s="1"/>
  <c r="R31" i="18" s="1"/>
  <c r="S31" i="18" s="1"/>
  <c r="T31" i="18" s="1"/>
  <c r="U31" i="18" s="1"/>
  <c r="V31" i="18" s="1"/>
  <c r="W31" i="18" s="1"/>
  <c r="X31" i="18" s="1"/>
  <c r="Y31" i="18" s="1"/>
  <c r="Z31" i="18" s="1"/>
  <c r="AA31" i="18" s="1"/>
  <c r="AB31" i="18" s="1"/>
  <c r="AC31" i="18" s="1"/>
  <c r="AD31" i="18" s="1"/>
  <c r="AE31" i="18" s="1"/>
  <c r="AF31" i="18" s="1"/>
  <c r="AG31" i="18" s="1"/>
  <c r="AH31" i="18" s="1"/>
  <c r="AI31" i="18" s="1"/>
  <c r="AJ31" i="18" s="1"/>
  <c r="AK31" i="18" s="1"/>
  <c r="C29" i="18"/>
  <c r="D29" i="18" s="1"/>
  <c r="E29" i="18" s="1"/>
  <c r="F29" i="18" s="1"/>
  <c r="G29" i="18" s="1"/>
  <c r="H29" i="18" s="1"/>
  <c r="I29" i="18" s="1"/>
  <c r="J29" i="18" s="1"/>
  <c r="K29" i="18" s="1"/>
  <c r="L29" i="18" s="1"/>
  <c r="M29" i="18" s="1"/>
  <c r="N29" i="18" s="1"/>
  <c r="O29" i="18" s="1"/>
  <c r="P29" i="18" s="1"/>
  <c r="Q29" i="18" s="1"/>
  <c r="R29" i="18" s="1"/>
  <c r="S29" i="18" s="1"/>
  <c r="T29" i="18" s="1"/>
  <c r="U29" i="18" s="1"/>
  <c r="V29" i="18" s="1"/>
  <c r="W29" i="18" s="1"/>
  <c r="X29" i="18" s="1"/>
  <c r="Y29" i="18" s="1"/>
  <c r="Z29" i="18" s="1"/>
  <c r="AA29" i="18" s="1"/>
  <c r="AB29" i="18" s="1"/>
  <c r="AC29" i="18" s="1"/>
  <c r="AD29" i="18" s="1"/>
  <c r="AE29" i="18" s="1"/>
  <c r="AF29" i="18" s="1"/>
  <c r="AG29" i="18" s="1"/>
  <c r="AH29" i="18" s="1"/>
  <c r="AI29" i="18" s="1"/>
  <c r="AJ29" i="18" s="1"/>
  <c r="AK29" i="18" s="1"/>
  <c r="C27" i="18"/>
  <c r="D27" i="18" s="1"/>
  <c r="E27" i="18" s="1"/>
  <c r="F27" i="18" s="1"/>
  <c r="G27" i="18" s="1"/>
  <c r="H27" i="18" s="1"/>
  <c r="I27" i="18" s="1"/>
  <c r="J27" i="18" s="1"/>
  <c r="K27" i="18" s="1"/>
  <c r="L27" i="18" s="1"/>
  <c r="M27" i="18" s="1"/>
  <c r="N27" i="18" s="1"/>
  <c r="O27" i="18" s="1"/>
  <c r="P27" i="18" s="1"/>
  <c r="Q27" i="18" s="1"/>
  <c r="R27" i="18" s="1"/>
  <c r="S27" i="18" s="1"/>
  <c r="T27" i="18" s="1"/>
  <c r="U27" i="18" s="1"/>
  <c r="V27" i="18" s="1"/>
  <c r="W27" i="18" s="1"/>
  <c r="X27" i="18" s="1"/>
  <c r="Y27" i="18" s="1"/>
  <c r="Z27" i="18" s="1"/>
  <c r="AA27" i="18" s="1"/>
  <c r="AB27" i="18" s="1"/>
  <c r="AC27" i="18" s="1"/>
  <c r="AD27" i="18" s="1"/>
  <c r="AE27" i="18" s="1"/>
  <c r="AF27" i="18" s="1"/>
  <c r="AG27" i="18" s="1"/>
  <c r="AH27" i="18" s="1"/>
  <c r="AI27" i="18" s="1"/>
  <c r="AJ27" i="18" s="1"/>
  <c r="AK27" i="18" s="1"/>
  <c r="C25" i="18"/>
  <c r="D25" i="18" s="1"/>
  <c r="E25" i="18" s="1"/>
  <c r="F25" i="18" s="1"/>
  <c r="G25" i="18" s="1"/>
  <c r="H25" i="18" s="1"/>
  <c r="I25" i="18" s="1"/>
  <c r="J25" i="18" s="1"/>
  <c r="K25" i="18" s="1"/>
  <c r="L25" i="18" s="1"/>
  <c r="M25" i="18" s="1"/>
  <c r="N25" i="18" s="1"/>
  <c r="O25" i="18" s="1"/>
  <c r="P25" i="18" s="1"/>
  <c r="Q25" i="18" s="1"/>
  <c r="R25" i="18" s="1"/>
  <c r="S25" i="18" s="1"/>
  <c r="T25" i="18" s="1"/>
  <c r="U25" i="18" s="1"/>
  <c r="V25" i="18" s="1"/>
  <c r="W25" i="18" s="1"/>
  <c r="X25" i="18" s="1"/>
  <c r="Y25" i="18" s="1"/>
  <c r="Z25" i="18" s="1"/>
  <c r="AA25" i="18" s="1"/>
  <c r="AB25" i="18" s="1"/>
  <c r="AC25" i="18" s="1"/>
  <c r="AD25" i="18" s="1"/>
  <c r="AE25" i="18" s="1"/>
  <c r="AF25" i="18" s="1"/>
  <c r="AG25" i="18" s="1"/>
  <c r="AH25" i="18" s="1"/>
  <c r="AI25" i="18" s="1"/>
  <c r="AJ25" i="18" s="1"/>
  <c r="AK25" i="18" s="1"/>
  <c r="C23" i="18"/>
  <c r="D23" i="18" s="1"/>
  <c r="E23" i="18" s="1"/>
  <c r="F23" i="18" s="1"/>
  <c r="G23" i="18" s="1"/>
  <c r="H23" i="18" s="1"/>
  <c r="I23" i="18" s="1"/>
  <c r="J23" i="18" s="1"/>
  <c r="K23" i="18" s="1"/>
  <c r="L23" i="18" s="1"/>
  <c r="M23" i="18" s="1"/>
  <c r="N23" i="18" s="1"/>
  <c r="O23" i="18" s="1"/>
  <c r="P23" i="18" s="1"/>
  <c r="Q23" i="18" s="1"/>
  <c r="R23" i="18" s="1"/>
  <c r="S23" i="18" s="1"/>
  <c r="T23" i="18" s="1"/>
  <c r="U23" i="18" s="1"/>
  <c r="V23" i="18" s="1"/>
  <c r="W23" i="18" s="1"/>
  <c r="X23" i="18" s="1"/>
  <c r="Y23" i="18" s="1"/>
  <c r="Z23" i="18" s="1"/>
  <c r="AA23" i="18" s="1"/>
  <c r="AB23" i="18" s="1"/>
  <c r="AC23" i="18" s="1"/>
  <c r="AD23" i="18" s="1"/>
  <c r="AE23" i="18" s="1"/>
  <c r="AF23" i="18" s="1"/>
  <c r="AG23" i="18" s="1"/>
  <c r="AH23" i="18" s="1"/>
  <c r="AI23" i="18" s="1"/>
  <c r="AJ23" i="18" s="1"/>
  <c r="AK23" i="18" s="1"/>
  <c r="C18" i="18"/>
  <c r="D18" i="18" s="1"/>
  <c r="E18" i="18" s="1"/>
  <c r="F18" i="18" s="1"/>
  <c r="G18" i="18" s="1"/>
  <c r="H18" i="18" s="1"/>
  <c r="I18" i="18" s="1"/>
  <c r="J18" i="18" s="1"/>
  <c r="K18" i="18" s="1"/>
  <c r="L18" i="18" s="1"/>
  <c r="M18" i="18" s="1"/>
  <c r="N18" i="18" s="1"/>
  <c r="O18" i="18" s="1"/>
  <c r="P18" i="18" s="1"/>
  <c r="Q18" i="18" s="1"/>
  <c r="R18" i="18" s="1"/>
  <c r="S18" i="18" s="1"/>
  <c r="T18" i="18" s="1"/>
  <c r="U18" i="18" s="1"/>
  <c r="V18" i="18" s="1"/>
  <c r="W18" i="18" s="1"/>
  <c r="X18" i="18" s="1"/>
  <c r="Y18" i="18" s="1"/>
  <c r="Z18" i="18" s="1"/>
  <c r="AA18" i="18" s="1"/>
  <c r="AB18" i="18" s="1"/>
  <c r="AC18" i="18" s="1"/>
  <c r="AD18" i="18" s="1"/>
  <c r="AE18" i="18" s="1"/>
  <c r="AF18" i="18" s="1"/>
  <c r="AG18" i="18" s="1"/>
  <c r="AH18" i="18" s="1"/>
  <c r="AI18" i="18" s="1"/>
  <c r="AJ18" i="18" s="1"/>
  <c r="AK18" i="18" s="1"/>
  <c r="B20" i="18"/>
  <c r="C20" i="18" s="1"/>
  <c r="D20" i="18" s="1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AD20" i="18" s="1"/>
  <c r="AE20" i="18" s="1"/>
  <c r="AF20" i="18" s="1"/>
  <c r="AG20" i="18" s="1"/>
  <c r="AH20" i="18" s="1"/>
  <c r="AI20" i="18" s="1"/>
  <c r="AJ20" i="18" s="1"/>
  <c r="AK20" i="18" s="1"/>
  <c r="C15" i="18"/>
  <c r="D15" i="18" s="1"/>
  <c r="E15" i="18" s="1"/>
  <c r="F15" i="18" s="1"/>
  <c r="G15" i="18" s="1"/>
  <c r="H15" i="18" s="1"/>
  <c r="I15" i="18" s="1"/>
  <c r="J15" i="18" s="1"/>
  <c r="K15" i="18" s="1"/>
  <c r="L15" i="18" s="1"/>
  <c r="M15" i="18" s="1"/>
  <c r="N15" i="18" s="1"/>
  <c r="O15" i="18" s="1"/>
  <c r="P15" i="18" s="1"/>
  <c r="Q15" i="18" s="1"/>
  <c r="R15" i="18" s="1"/>
  <c r="S15" i="18" s="1"/>
  <c r="T15" i="18" s="1"/>
  <c r="U15" i="18" s="1"/>
  <c r="V15" i="18" s="1"/>
  <c r="W15" i="18" s="1"/>
  <c r="X15" i="18" s="1"/>
  <c r="Y15" i="18" s="1"/>
  <c r="Z15" i="18" s="1"/>
  <c r="AA15" i="18" s="1"/>
  <c r="AB15" i="18" s="1"/>
  <c r="AC15" i="18" s="1"/>
  <c r="AD15" i="18" s="1"/>
  <c r="AE15" i="18" s="1"/>
  <c r="AF15" i="18" s="1"/>
  <c r="AG15" i="18" s="1"/>
  <c r="AH15" i="18" s="1"/>
  <c r="AI15" i="18" s="1"/>
  <c r="AJ15" i="18" s="1"/>
  <c r="AK15" i="18" s="1"/>
  <c r="C13" i="18"/>
  <c r="D13" i="18" s="1"/>
  <c r="E13" i="18" s="1"/>
  <c r="F13" i="18" s="1"/>
  <c r="G13" i="18" s="1"/>
  <c r="H13" i="18" s="1"/>
  <c r="I13" i="18" s="1"/>
  <c r="J13" i="18" s="1"/>
  <c r="K13" i="18" s="1"/>
  <c r="L13" i="18" s="1"/>
  <c r="M13" i="18" s="1"/>
  <c r="N13" i="18" s="1"/>
  <c r="O13" i="18" s="1"/>
  <c r="P13" i="18" s="1"/>
  <c r="Q13" i="18" s="1"/>
  <c r="R13" i="18" s="1"/>
  <c r="S13" i="18" s="1"/>
  <c r="T13" i="18" s="1"/>
  <c r="U13" i="18" s="1"/>
  <c r="V13" i="18" s="1"/>
  <c r="W13" i="18" s="1"/>
  <c r="X13" i="18" s="1"/>
  <c r="Y13" i="18" s="1"/>
  <c r="Z13" i="18" s="1"/>
  <c r="AA13" i="18" s="1"/>
  <c r="AB13" i="18" s="1"/>
  <c r="AC13" i="18" s="1"/>
  <c r="AD13" i="18" s="1"/>
  <c r="AE13" i="18" s="1"/>
  <c r="AF13" i="18" s="1"/>
  <c r="AG13" i="18" s="1"/>
  <c r="AH13" i="18" s="1"/>
  <c r="AI13" i="18" s="1"/>
  <c r="AJ13" i="18" s="1"/>
  <c r="AK13" i="18" s="1"/>
  <c r="B11" i="18"/>
  <c r="B12" i="18" s="1"/>
  <c r="B17" i="18" s="1"/>
  <c r="B22" i="18" s="1"/>
  <c r="C9" i="18"/>
  <c r="D9" i="18" s="1"/>
  <c r="E9" i="18" s="1"/>
  <c r="F9" i="18" s="1"/>
  <c r="G9" i="18" s="1"/>
  <c r="H9" i="18" s="1"/>
  <c r="I9" i="18" s="1"/>
  <c r="J9" i="18" s="1"/>
  <c r="K9" i="18" s="1"/>
  <c r="L9" i="18" s="1"/>
  <c r="M9" i="18" s="1"/>
  <c r="N9" i="18" s="1"/>
  <c r="O9" i="18" s="1"/>
  <c r="P9" i="18" s="1"/>
  <c r="Q9" i="18" s="1"/>
  <c r="R9" i="18" s="1"/>
  <c r="S9" i="18" s="1"/>
  <c r="T9" i="18" s="1"/>
  <c r="U9" i="18" s="1"/>
  <c r="V9" i="18" s="1"/>
  <c r="W9" i="18" s="1"/>
  <c r="X9" i="18" s="1"/>
  <c r="Y9" i="18" s="1"/>
  <c r="Z9" i="18" s="1"/>
  <c r="AA9" i="18" s="1"/>
  <c r="AB9" i="18" s="1"/>
  <c r="AC9" i="18" s="1"/>
  <c r="AD9" i="18" s="1"/>
  <c r="AE9" i="18" s="1"/>
  <c r="AF9" i="18" s="1"/>
  <c r="AG9" i="18" s="1"/>
  <c r="AH9" i="18" s="1"/>
  <c r="AI9" i="18" s="1"/>
  <c r="AJ9" i="18" s="1"/>
  <c r="AK9" i="18" s="1"/>
  <c r="C7" i="18"/>
  <c r="D7" i="18" s="1"/>
  <c r="C5" i="18"/>
  <c r="D5" i="18" s="1"/>
  <c r="E5" i="18" s="1"/>
  <c r="F5" i="18" s="1"/>
  <c r="G5" i="18" s="1"/>
  <c r="H5" i="18" s="1"/>
  <c r="I5" i="18" s="1"/>
  <c r="J5" i="18" s="1"/>
  <c r="K5" i="18" s="1"/>
  <c r="L5" i="18" s="1"/>
  <c r="M5" i="18" s="1"/>
  <c r="N5" i="18" s="1"/>
  <c r="O5" i="18" s="1"/>
  <c r="P5" i="18" s="1"/>
  <c r="Q5" i="18" s="1"/>
  <c r="R5" i="18" s="1"/>
  <c r="S5" i="18" s="1"/>
  <c r="T5" i="18" s="1"/>
  <c r="U5" i="18" s="1"/>
  <c r="V5" i="18" s="1"/>
  <c r="W5" i="18" s="1"/>
  <c r="X5" i="18" s="1"/>
  <c r="Y5" i="18" s="1"/>
  <c r="Z5" i="18" s="1"/>
  <c r="AA5" i="18" s="1"/>
  <c r="AB5" i="18" s="1"/>
  <c r="AC5" i="18" s="1"/>
  <c r="AD5" i="18" s="1"/>
  <c r="AE5" i="18" s="1"/>
  <c r="AF5" i="18" s="1"/>
  <c r="AG5" i="18" s="1"/>
  <c r="AH5" i="18" s="1"/>
  <c r="AI5" i="18" s="1"/>
  <c r="AJ5" i="18" s="1"/>
  <c r="AK5" i="18" s="1"/>
  <c r="C3" i="18"/>
  <c r="B71" i="18" l="1"/>
  <c r="B74" i="18" s="1"/>
  <c r="B10" i="5" s="1"/>
  <c r="B80" i="18"/>
  <c r="B9" i="5" s="1"/>
  <c r="G48" i="18"/>
  <c r="F50" i="18"/>
  <c r="E43" i="18"/>
  <c r="D45" i="18"/>
  <c r="E65" i="18"/>
  <c r="D67" i="18"/>
  <c r="E69" i="18"/>
  <c r="C61" i="18"/>
  <c r="D53" i="18"/>
  <c r="E53" i="18" s="1"/>
  <c r="B37" i="18"/>
  <c r="B40" i="18" s="1"/>
  <c r="D55" i="18"/>
  <c r="C11" i="18"/>
  <c r="C12" i="18" s="1"/>
  <c r="C17" i="18" s="1"/>
  <c r="C22" i="18" s="1"/>
  <c r="D11" i="18"/>
  <c r="E7" i="18"/>
  <c r="D3" i="18"/>
  <c r="B56" i="1" l="1"/>
  <c r="B7" i="5"/>
  <c r="B86" i="18"/>
  <c r="C71" i="18"/>
  <c r="C74" i="18" s="1"/>
  <c r="C10" i="5" s="1"/>
  <c r="C80" i="18"/>
  <c r="C9" i="5" s="1"/>
  <c r="H48" i="18"/>
  <c r="G50" i="18"/>
  <c r="F43" i="18"/>
  <c r="E45" i="18"/>
  <c r="F65" i="18"/>
  <c r="E67" i="18"/>
  <c r="F69" i="18"/>
  <c r="C37" i="18"/>
  <c r="C40" i="18" s="1"/>
  <c r="F53" i="18"/>
  <c r="E55" i="18"/>
  <c r="D58" i="18"/>
  <c r="D61" i="18" s="1"/>
  <c r="E11" i="18"/>
  <c r="F7" i="18"/>
  <c r="D12" i="18"/>
  <c r="D17" i="18" s="1"/>
  <c r="D22" i="18" s="1"/>
  <c r="E3" i="18"/>
  <c r="C7" i="5" l="1"/>
  <c r="C86" i="18"/>
  <c r="C56" i="1" s="1"/>
  <c r="D71" i="18"/>
  <c r="D74" i="18" s="1"/>
  <c r="D10" i="5" s="1"/>
  <c r="D80" i="18"/>
  <c r="D9" i="5" s="1"/>
  <c r="I48" i="18"/>
  <c r="H50" i="18"/>
  <c r="G43" i="18"/>
  <c r="F45" i="18"/>
  <c r="G65" i="18"/>
  <c r="F67" i="18"/>
  <c r="G69" i="18"/>
  <c r="C13" i="5"/>
  <c r="D37" i="18"/>
  <c r="D40" i="18" s="1"/>
  <c r="F55" i="18"/>
  <c r="E58" i="18"/>
  <c r="E61" i="18" s="1"/>
  <c r="G53" i="18"/>
  <c r="G7" i="18"/>
  <c r="F11" i="18"/>
  <c r="E12" i="18"/>
  <c r="E17" i="18" s="1"/>
  <c r="E22" i="18" s="1"/>
  <c r="F3" i="18"/>
  <c r="A34" i="15"/>
  <c r="A33" i="15"/>
  <c r="A32" i="15"/>
  <c r="A31" i="15"/>
  <c r="A27" i="13"/>
  <c r="A1" i="13"/>
  <c r="A27" i="12"/>
  <c r="A1" i="12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B35" i="12" s="1"/>
  <c r="C35" i="12" s="1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B35" i="13" s="1"/>
  <c r="C35" i="13" s="1"/>
  <c r="D35" i="13" s="1"/>
  <c r="E35" i="13" s="1"/>
  <c r="F35" i="13" s="1"/>
  <c r="G35" i="13" s="1"/>
  <c r="H35" i="13" s="1"/>
  <c r="I35" i="13" s="1"/>
  <c r="J35" i="13" s="1"/>
  <c r="K35" i="13" s="1"/>
  <c r="L35" i="13" s="1"/>
  <c r="M35" i="13" s="1"/>
  <c r="B33" i="11"/>
  <c r="C33" i="11" s="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3" i="11" s="1"/>
  <c r="B33" i="12" s="1"/>
  <c r="C33" i="12" s="1"/>
  <c r="D33" i="12" s="1"/>
  <c r="E33" i="12" s="1"/>
  <c r="F33" i="12" s="1"/>
  <c r="G33" i="12" s="1"/>
  <c r="H33" i="12" s="1"/>
  <c r="I33" i="12" s="1"/>
  <c r="J33" i="12" s="1"/>
  <c r="K33" i="12" s="1"/>
  <c r="L33" i="12" s="1"/>
  <c r="M33" i="12" s="1"/>
  <c r="B33" i="13" s="1"/>
  <c r="C33" i="13" s="1"/>
  <c r="D33" i="13" s="1"/>
  <c r="E33" i="13" s="1"/>
  <c r="F33" i="13" s="1"/>
  <c r="G33" i="13" s="1"/>
  <c r="H33" i="13" s="1"/>
  <c r="I33" i="13" s="1"/>
  <c r="J33" i="13" s="1"/>
  <c r="K33" i="13" s="1"/>
  <c r="L33" i="13" s="1"/>
  <c r="M33" i="13" s="1"/>
  <c r="A27" i="11"/>
  <c r="B24" i="11"/>
  <c r="B23" i="11"/>
  <c r="B16" i="11"/>
  <c r="B15" i="11"/>
  <c r="B14" i="11"/>
  <c r="C14" i="11" s="1"/>
  <c r="B10" i="11"/>
  <c r="A1" i="11"/>
  <c r="M37" i="10"/>
  <c r="L37" i="10"/>
  <c r="K37" i="10"/>
  <c r="J37" i="10"/>
  <c r="I37" i="10"/>
  <c r="H37" i="10"/>
  <c r="G37" i="10"/>
  <c r="F37" i="10"/>
  <c r="E37" i="10"/>
  <c r="D37" i="10"/>
  <c r="C37" i="10"/>
  <c r="B37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B18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" i="10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B18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A1" i="9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C18" i="8"/>
  <c r="B13" i="8"/>
  <c r="N12" i="8"/>
  <c r="M12" i="8"/>
  <c r="L12" i="8"/>
  <c r="K12" i="8"/>
  <c r="J12" i="8"/>
  <c r="I12" i="8"/>
  <c r="H12" i="8"/>
  <c r="G12" i="8"/>
  <c r="F12" i="8"/>
  <c r="E12" i="8"/>
  <c r="D12" i="8"/>
  <c r="C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B7" i="8"/>
  <c r="A1" i="8"/>
  <c r="A21" i="7"/>
  <c r="N8" i="7"/>
  <c r="D4" i="15" s="1"/>
  <c r="A1" i="7"/>
  <c r="A21" i="6"/>
  <c r="N8" i="6"/>
  <c r="C4" i="15" s="1"/>
  <c r="A1" i="6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21" i="5"/>
  <c r="A16" i="15" s="1"/>
  <c r="A6" i="15"/>
  <c r="A5" i="15"/>
  <c r="N8" i="5"/>
  <c r="B4" i="15" s="1"/>
  <c r="A4" i="15"/>
  <c r="C11" i="5"/>
  <c r="A3" i="15"/>
  <c r="A1" i="5"/>
  <c r="B21" i="4"/>
  <c r="B19" i="4"/>
  <c r="B13" i="4"/>
  <c r="B12" i="4"/>
  <c r="B34" i="11" s="1"/>
  <c r="D4" i="4"/>
  <c r="C4" i="4"/>
  <c r="B4" i="4"/>
  <c r="A4" i="4"/>
  <c r="D3" i="4"/>
  <c r="C3" i="4"/>
  <c r="B3" i="4"/>
  <c r="B17" i="4" s="1"/>
  <c r="A3" i="4"/>
  <c r="B2" i="4"/>
  <c r="C7" i="8" s="1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O12" i="3" s="1"/>
  <c r="C33" i="9" s="1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F9" i="2" s="1"/>
  <c r="M13" i="10"/>
  <c r="I13" i="10"/>
  <c r="E13" i="10"/>
  <c r="N10" i="10"/>
  <c r="J13" i="9"/>
  <c r="F13" i="9"/>
  <c r="M13" i="8"/>
  <c r="L13" i="8"/>
  <c r="I13" i="8"/>
  <c r="H13" i="8"/>
  <c r="E13" i="8"/>
  <c r="D13" i="8"/>
  <c r="O10" i="8"/>
  <c r="AK61" i="1"/>
  <c r="M39" i="7" s="1"/>
  <c r="AJ61" i="1"/>
  <c r="L39" i="7" s="1"/>
  <c r="AI61" i="1"/>
  <c r="K39" i="7" s="1"/>
  <c r="AH61" i="1"/>
  <c r="J39" i="7" s="1"/>
  <c r="AG61" i="1"/>
  <c r="I39" i="7" s="1"/>
  <c r="AF61" i="1"/>
  <c r="H39" i="7" s="1"/>
  <c r="AE61" i="1"/>
  <c r="G39" i="7" s="1"/>
  <c r="AD61" i="1"/>
  <c r="F39" i="7" s="1"/>
  <c r="AC61" i="1"/>
  <c r="E39" i="7" s="1"/>
  <c r="AB61" i="1"/>
  <c r="D39" i="7" s="1"/>
  <c r="AA61" i="1"/>
  <c r="C39" i="7" s="1"/>
  <c r="Z61" i="1"/>
  <c r="B39" i="7" s="1"/>
  <c r="Y61" i="1"/>
  <c r="M39" i="6" s="1"/>
  <c r="X61" i="1"/>
  <c r="L39" i="6" s="1"/>
  <c r="W61" i="1"/>
  <c r="K39" i="6" s="1"/>
  <c r="V61" i="1"/>
  <c r="J39" i="6" s="1"/>
  <c r="U61" i="1"/>
  <c r="I39" i="6" s="1"/>
  <c r="T61" i="1"/>
  <c r="H39" i="6" s="1"/>
  <c r="S61" i="1"/>
  <c r="G39" i="6" s="1"/>
  <c r="R61" i="1"/>
  <c r="F39" i="6" s="1"/>
  <c r="Q61" i="1"/>
  <c r="E39" i="6" s="1"/>
  <c r="P61" i="1"/>
  <c r="D39" i="6" s="1"/>
  <c r="O61" i="1"/>
  <c r="C39" i="6" s="1"/>
  <c r="N61" i="1"/>
  <c r="B39" i="6" s="1"/>
  <c r="M61" i="1"/>
  <c r="M39" i="5" s="1"/>
  <c r="L61" i="1"/>
  <c r="L39" i="5" s="1"/>
  <c r="K61" i="1"/>
  <c r="K39" i="5" s="1"/>
  <c r="J61" i="1"/>
  <c r="J39" i="5" s="1"/>
  <c r="I61" i="1"/>
  <c r="I39" i="5" s="1"/>
  <c r="H61" i="1"/>
  <c r="H39" i="5" s="1"/>
  <c r="G61" i="1"/>
  <c r="G39" i="5" s="1"/>
  <c r="F61" i="1"/>
  <c r="F39" i="5" s="1"/>
  <c r="E61" i="1"/>
  <c r="E39" i="5" s="1"/>
  <c r="D61" i="1"/>
  <c r="D39" i="5" s="1"/>
  <c r="C61" i="1"/>
  <c r="C39" i="5" s="1"/>
  <c r="B61" i="1"/>
  <c r="B39" i="5" s="1"/>
  <c r="C17" i="8"/>
  <c r="C16" i="8"/>
  <c r="B14" i="1"/>
  <c r="B13" i="1"/>
  <c r="B12" i="1"/>
  <c r="B11" i="1"/>
  <c r="B15" i="1" s="1"/>
  <c r="G12" i="3" l="1"/>
  <c r="G36" i="5" s="1"/>
  <c r="K12" i="3"/>
  <c r="K36" i="5" s="1"/>
  <c r="W12" i="3"/>
  <c r="K33" i="9" s="1"/>
  <c r="AA12" i="3"/>
  <c r="C36" i="7" s="1"/>
  <c r="D12" i="3"/>
  <c r="H12" i="3"/>
  <c r="L12" i="3"/>
  <c r="M33" i="8" s="1"/>
  <c r="P12" i="3"/>
  <c r="D33" i="9" s="1"/>
  <c r="T12" i="3"/>
  <c r="X12" i="3"/>
  <c r="AB12" i="3"/>
  <c r="D36" i="7" s="1"/>
  <c r="AF12" i="3"/>
  <c r="H36" i="7" s="1"/>
  <c r="AJ12" i="3"/>
  <c r="AE12" i="3"/>
  <c r="G36" i="7" s="1"/>
  <c r="C12" i="3"/>
  <c r="C36" i="5" s="1"/>
  <c r="S12" i="3"/>
  <c r="G33" i="9" s="1"/>
  <c r="AI12" i="3"/>
  <c r="K33" i="10" s="1"/>
  <c r="E12" i="3"/>
  <c r="I12" i="3"/>
  <c r="I36" i="5" s="1"/>
  <c r="M12" i="3"/>
  <c r="N33" i="8" s="1"/>
  <c r="Q12" i="3"/>
  <c r="U12" i="3"/>
  <c r="Y12" i="3"/>
  <c r="M33" i="9" s="1"/>
  <c r="AC12" i="3"/>
  <c r="E33" i="10" s="1"/>
  <c r="AG12" i="3"/>
  <c r="AK12" i="3"/>
  <c r="D7" i="5"/>
  <c r="D86" i="18"/>
  <c r="D56" i="1" s="1"/>
  <c r="E71" i="18"/>
  <c r="E74" i="18" s="1"/>
  <c r="E10" i="5" s="1"/>
  <c r="E80" i="18"/>
  <c r="E9" i="5" s="1"/>
  <c r="J48" i="18"/>
  <c r="I50" i="18"/>
  <c r="H43" i="18"/>
  <c r="G45" i="18"/>
  <c r="H69" i="18"/>
  <c r="H65" i="18"/>
  <c r="G67" i="18"/>
  <c r="D13" i="5"/>
  <c r="E40" i="8" s="1"/>
  <c r="D14" i="5"/>
  <c r="E37" i="18"/>
  <c r="E40" i="18" s="1"/>
  <c r="H53" i="18"/>
  <c r="G55" i="18"/>
  <c r="F58" i="18"/>
  <c r="F61" i="18" s="1"/>
  <c r="B12" i="3"/>
  <c r="C33" i="8" s="1"/>
  <c r="F12" i="3"/>
  <c r="J12" i="3"/>
  <c r="K33" i="8" s="1"/>
  <c r="N12" i="3"/>
  <c r="B36" i="6" s="1"/>
  <c r="R12" i="3"/>
  <c r="F36" i="6" s="1"/>
  <c r="V12" i="3"/>
  <c r="Z12" i="3"/>
  <c r="B36" i="7" s="1"/>
  <c r="AD12" i="3"/>
  <c r="F36" i="7" s="1"/>
  <c r="AH12" i="3"/>
  <c r="J33" i="10" s="1"/>
  <c r="D36" i="5"/>
  <c r="E33" i="8"/>
  <c r="H36" i="5"/>
  <c r="I33" i="8"/>
  <c r="H36" i="6"/>
  <c r="H33" i="9"/>
  <c r="L36" i="6"/>
  <c r="L33" i="9"/>
  <c r="L33" i="10"/>
  <c r="L36" i="7"/>
  <c r="G33" i="8"/>
  <c r="F36" i="5"/>
  <c r="J33" i="9"/>
  <c r="J36" i="6"/>
  <c r="F33" i="8"/>
  <c r="E36" i="5"/>
  <c r="E33" i="9"/>
  <c r="E36" i="6"/>
  <c r="I36" i="6"/>
  <c r="I33" i="9"/>
  <c r="I33" i="10"/>
  <c r="I36" i="7"/>
  <c r="M33" i="10"/>
  <c r="M36" i="7"/>
  <c r="K36" i="7"/>
  <c r="H33" i="8"/>
  <c r="L33" i="8"/>
  <c r="G33" i="10"/>
  <c r="C36" i="6"/>
  <c r="C9" i="2"/>
  <c r="B27" i="11"/>
  <c r="B28" i="11" s="1"/>
  <c r="B30" i="11" s="1"/>
  <c r="D9" i="2"/>
  <c r="E9" i="2"/>
  <c r="C35" i="8" s="1"/>
  <c r="N24" i="6"/>
  <c r="C19" i="15" s="1"/>
  <c r="N28" i="6"/>
  <c r="C23" i="15" s="1"/>
  <c r="N32" i="6"/>
  <c r="C27" i="15" s="1"/>
  <c r="B11" i="5"/>
  <c r="N22" i="5"/>
  <c r="B17" i="15" s="1"/>
  <c r="N26" i="5"/>
  <c r="B21" i="15" s="1"/>
  <c r="N30" i="5"/>
  <c r="B25" i="15" s="1"/>
  <c r="N34" i="5"/>
  <c r="B29" i="15" s="1"/>
  <c r="N23" i="7"/>
  <c r="D18" i="15" s="1"/>
  <c r="O11" i="8"/>
  <c r="O12" i="8"/>
  <c r="O36" i="8"/>
  <c r="N36" i="9"/>
  <c r="N31" i="7"/>
  <c r="D26" i="15" s="1"/>
  <c r="N23" i="5"/>
  <c r="B18" i="15" s="1"/>
  <c r="N27" i="5"/>
  <c r="B22" i="15" s="1"/>
  <c r="N31" i="5"/>
  <c r="B26" i="15" s="1"/>
  <c r="N35" i="5"/>
  <c r="B30" i="15" s="1"/>
  <c r="N21" i="6"/>
  <c r="C16" i="15" s="1"/>
  <c r="N24" i="5"/>
  <c r="B19" i="15" s="1"/>
  <c r="N28" i="5"/>
  <c r="B23" i="15" s="1"/>
  <c r="N32" i="5"/>
  <c r="B27" i="15" s="1"/>
  <c r="N22" i="6"/>
  <c r="C17" i="15" s="1"/>
  <c r="N26" i="6"/>
  <c r="C21" i="15" s="1"/>
  <c r="N30" i="6"/>
  <c r="C25" i="15" s="1"/>
  <c r="N34" i="6"/>
  <c r="C29" i="15" s="1"/>
  <c r="N25" i="7"/>
  <c r="D20" i="15" s="1"/>
  <c r="N33" i="7"/>
  <c r="D28" i="15" s="1"/>
  <c r="O18" i="8"/>
  <c r="O21" i="8"/>
  <c r="O22" i="8"/>
  <c r="O23" i="8"/>
  <c r="O24" i="8"/>
  <c r="O25" i="8"/>
  <c r="O27" i="8"/>
  <c r="O28" i="8"/>
  <c r="O29" i="8"/>
  <c r="N11" i="9"/>
  <c r="N20" i="9"/>
  <c r="N21" i="9"/>
  <c r="N22" i="9"/>
  <c r="N23" i="9"/>
  <c r="N24" i="9"/>
  <c r="N26" i="9"/>
  <c r="N27" i="9"/>
  <c r="N28" i="9"/>
  <c r="N31" i="9"/>
  <c r="N32" i="9"/>
  <c r="N18" i="10"/>
  <c r="N19" i="10"/>
  <c r="N21" i="10"/>
  <c r="N22" i="10"/>
  <c r="N23" i="10"/>
  <c r="N27" i="10"/>
  <c r="N28" i="10"/>
  <c r="N31" i="10"/>
  <c r="N32" i="10"/>
  <c r="N33" i="6"/>
  <c r="C28" i="15" s="1"/>
  <c r="N24" i="7"/>
  <c r="D19" i="15" s="1"/>
  <c r="N28" i="7"/>
  <c r="D23" i="15" s="1"/>
  <c r="N32" i="7"/>
  <c r="D27" i="15" s="1"/>
  <c r="N21" i="5"/>
  <c r="B16" i="15" s="1"/>
  <c r="N25" i="5"/>
  <c r="B20" i="15" s="1"/>
  <c r="N29" i="5"/>
  <c r="B24" i="15" s="1"/>
  <c r="N33" i="5"/>
  <c r="B28" i="15" s="1"/>
  <c r="N23" i="6"/>
  <c r="C18" i="15" s="1"/>
  <c r="N31" i="6"/>
  <c r="C26" i="15" s="1"/>
  <c r="N22" i="7"/>
  <c r="D17" i="15" s="1"/>
  <c r="N26" i="7"/>
  <c r="D21" i="15" s="1"/>
  <c r="N30" i="7"/>
  <c r="D25" i="15" s="1"/>
  <c r="N34" i="7"/>
  <c r="D29" i="15" s="1"/>
  <c r="D10" i="11"/>
  <c r="N10" i="9"/>
  <c r="B13" i="9"/>
  <c r="B13" i="5"/>
  <c r="N29" i="6"/>
  <c r="C24" i="15" s="1"/>
  <c r="N21" i="7"/>
  <c r="D16" i="15" s="1"/>
  <c r="N29" i="7"/>
  <c r="D24" i="15" s="1"/>
  <c r="D38" i="8"/>
  <c r="C38" i="8"/>
  <c r="D17" i="8"/>
  <c r="B59" i="1"/>
  <c r="B14" i="5"/>
  <c r="B38" i="5"/>
  <c r="N27" i="6"/>
  <c r="C22" i="15" s="1"/>
  <c r="N35" i="6"/>
  <c r="C30" i="15" s="1"/>
  <c r="N27" i="7"/>
  <c r="D22" i="15" s="1"/>
  <c r="N35" i="7"/>
  <c r="D30" i="15" s="1"/>
  <c r="D16" i="8"/>
  <c r="E16" i="8"/>
  <c r="C59" i="1"/>
  <c r="C14" i="5"/>
  <c r="C15" i="5" s="1"/>
  <c r="C17" i="5" s="1"/>
  <c r="C18" i="5" s="1"/>
  <c r="C38" i="5"/>
  <c r="N25" i="6"/>
  <c r="C20" i="15" s="1"/>
  <c r="O26" i="8"/>
  <c r="N25" i="9"/>
  <c r="N11" i="10"/>
  <c r="N20" i="10"/>
  <c r="O30" i="8"/>
  <c r="O31" i="8"/>
  <c r="O32" i="8"/>
  <c r="N29" i="9"/>
  <c r="N30" i="9"/>
  <c r="N24" i="10"/>
  <c r="N25" i="10"/>
  <c r="N26" i="10"/>
  <c r="F13" i="8"/>
  <c r="J13" i="8"/>
  <c r="N13" i="8"/>
  <c r="O19" i="8"/>
  <c r="O20" i="8"/>
  <c r="N18" i="9"/>
  <c r="N19" i="9"/>
  <c r="N29" i="10"/>
  <c r="N30" i="10"/>
  <c r="N36" i="10"/>
  <c r="N37" i="9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B15" i="12" s="1"/>
  <c r="C15" i="12" s="1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B15" i="13" s="1"/>
  <c r="C15" i="13" s="1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B17" i="11"/>
  <c r="C13" i="9"/>
  <c r="G13" i="9"/>
  <c r="K13" i="9"/>
  <c r="B13" i="10"/>
  <c r="F13" i="10"/>
  <c r="J13" i="10"/>
  <c r="D13" i="9"/>
  <c r="H13" i="9"/>
  <c r="L13" i="9"/>
  <c r="C13" i="10"/>
  <c r="G13" i="10"/>
  <c r="K13" i="10"/>
  <c r="G11" i="18"/>
  <c r="H7" i="18"/>
  <c r="G3" i="18"/>
  <c r="F12" i="18"/>
  <c r="F17" i="18" s="1"/>
  <c r="F22" i="18" s="1"/>
  <c r="E4" i="4"/>
  <c r="N37" i="10"/>
  <c r="B18" i="4"/>
  <c r="C16" i="1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B16" i="12" s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B16" i="13" s="1"/>
  <c r="C16" i="13" s="1"/>
  <c r="D16" i="13" s="1"/>
  <c r="E16" i="13" s="1"/>
  <c r="F16" i="13" s="1"/>
  <c r="G16" i="13" s="1"/>
  <c r="H16" i="13" s="1"/>
  <c r="I16" i="13" s="1"/>
  <c r="J16" i="13" s="1"/>
  <c r="K16" i="13" s="1"/>
  <c r="L16" i="13" s="1"/>
  <c r="M16" i="13" s="1"/>
  <c r="N39" i="5"/>
  <c r="B34" i="15" s="1"/>
  <c r="N39" i="6"/>
  <c r="C34" i="15" s="1"/>
  <c r="N39" i="7"/>
  <c r="D34" i="15" s="1"/>
  <c r="B37" i="8"/>
  <c r="E3" i="4"/>
  <c r="D14" i="11"/>
  <c r="N12" i="10"/>
  <c r="C13" i="8"/>
  <c r="G13" i="8"/>
  <c r="K13" i="8"/>
  <c r="N12" i="9"/>
  <c r="E13" i="9"/>
  <c r="I13" i="9"/>
  <c r="M13" i="9"/>
  <c r="D13" i="10"/>
  <c r="H13" i="10"/>
  <c r="L13" i="10"/>
  <c r="C34" i="11"/>
  <c r="D34" i="11" s="1"/>
  <c r="E34" i="11" s="1"/>
  <c r="F34" i="11" s="1"/>
  <c r="G34" i="11" s="1"/>
  <c r="H34" i="11" s="1"/>
  <c r="I34" i="11" s="1"/>
  <c r="J34" i="11" s="1"/>
  <c r="K34" i="11" s="1"/>
  <c r="L34" i="11" s="1"/>
  <c r="M34" i="11" s="1"/>
  <c r="N34" i="11" s="1"/>
  <c r="B34" i="12" s="1"/>
  <c r="C34" i="12" s="1"/>
  <c r="D34" i="12" s="1"/>
  <c r="E34" i="12" s="1"/>
  <c r="F34" i="12" s="1"/>
  <c r="G34" i="12" s="1"/>
  <c r="H34" i="12" s="1"/>
  <c r="I34" i="12" s="1"/>
  <c r="J34" i="12" s="1"/>
  <c r="K34" i="12" s="1"/>
  <c r="L34" i="12" s="1"/>
  <c r="M34" i="12" s="1"/>
  <c r="B34" i="13" s="1"/>
  <c r="C34" i="13" s="1"/>
  <c r="D34" i="13" s="1"/>
  <c r="E34" i="13" s="1"/>
  <c r="F34" i="13" s="1"/>
  <c r="G34" i="13" s="1"/>
  <c r="H34" i="13" s="1"/>
  <c r="I34" i="13" s="1"/>
  <c r="J34" i="13" s="1"/>
  <c r="K34" i="13" s="1"/>
  <c r="L34" i="13" s="1"/>
  <c r="M34" i="13" s="1"/>
  <c r="B9" i="11"/>
  <c r="B11" i="11" s="1"/>
  <c r="B8" i="4"/>
  <c r="M36" i="6" l="1"/>
  <c r="L36" i="5"/>
  <c r="B33" i="10"/>
  <c r="J36" i="5"/>
  <c r="J33" i="8"/>
  <c r="K36" i="6"/>
  <c r="D33" i="10"/>
  <c r="B33" i="9"/>
  <c r="F33" i="9"/>
  <c r="C33" i="10"/>
  <c r="J36" i="7"/>
  <c r="E36" i="7"/>
  <c r="M36" i="5"/>
  <c r="H33" i="10"/>
  <c r="D36" i="6"/>
  <c r="B36" i="5"/>
  <c r="G36" i="6"/>
  <c r="D33" i="8"/>
  <c r="E38" i="8"/>
  <c r="D38" i="5"/>
  <c r="D11" i="5"/>
  <c r="E56" i="1"/>
  <c r="E86" i="18"/>
  <c r="E7" i="5"/>
  <c r="E11" i="5" s="1"/>
  <c r="B19" i="11"/>
  <c r="B36" i="11" s="1"/>
  <c r="B37" i="11" s="1"/>
  <c r="B39" i="11" s="1"/>
  <c r="N13" i="10"/>
  <c r="E17" i="8"/>
  <c r="F71" i="18"/>
  <c r="F74" i="18" s="1"/>
  <c r="F10" i="5" s="1"/>
  <c r="F80" i="18"/>
  <c r="F9" i="5" s="1"/>
  <c r="D59" i="1"/>
  <c r="K48" i="18"/>
  <c r="J50" i="18"/>
  <c r="I43" i="18"/>
  <c r="H45" i="18"/>
  <c r="I69" i="18"/>
  <c r="I65" i="18"/>
  <c r="H67" i="18"/>
  <c r="F16" i="8"/>
  <c r="E38" i="5"/>
  <c r="F38" i="8"/>
  <c r="I53" i="18"/>
  <c r="F17" i="8"/>
  <c r="F37" i="18"/>
  <c r="F40" i="18" s="1"/>
  <c r="H55" i="18"/>
  <c r="G58" i="18"/>
  <c r="G61" i="18" s="1"/>
  <c r="F33" i="10"/>
  <c r="C34" i="8"/>
  <c r="B37" i="5"/>
  <c r="B40" i="5" s="1"/>
  <c r="F10" i="2"/>
  <c r="N13" i="9"/>
  <c r="C10" i="11"/>
  <c r="D40" i="8"/>
  <c r="C40" i="8"/>
  <c r="B15" i="5"/>
  <c r="E10" i="11"/>
  <c r="D15" i="5"/>
  <c r="D23" i="11"/>
  <c r="D24" i="11" s="1"/>
  <c r="G12" i="18"/>
  <c r="G17" i="18" s="1"/>
  <c r="G22" i="18" s="1"/>
  <c r="H3" i="18"/>
  <c r="I7" i="18"/>
  <c r="H11" i="18"/>
  <c r="C17" i="11"/>
  <c r="O37" i="8"/>
  <c r="B41" i="8"/>
  <c r="B43" i="8" s="1"/>
  <c r="B45" i="8" s="1"/>
  <c r="D17" i="11"/>
  <c r="E14" i="11"/>
  <c r="O13" i="8"/>
  <c r="N36" i="6" l="1"/>
  <c r="C31" i="15" s="1"/>
  <c r="N33" i="10"/>
  <c r="N36" i="5"/>
  <c r="B31" i="15" s="1"/>
  <c r="O33" i="8"/>
  <c r="N36" i="7"/>
  <c r="D31" i="15" s="1"/>
  <c r="N33" i="9"/>
  <c r="F56" i="1"/>
  <c r="G38" i="8" s="1"/>
  <c r="F7" i="5"/>
  <c r="F11" i="5" s="1"/>
  <c r="F86" i="18"/>
  <c r="G71" i="18"/>
  <c r="G74" i="18" s="1"/>
  <c r="G10" i="5" s="1"/>
  <c r="G80" i="18"/>
  <c r="G9" i="5" s="1"/>
  <c r="L48" i="18"/>
  <c r="K50" i="18"/>
  <c r="J43" i="18"/>
  <c r="I45" i="18"/>
  <c r="J65" i="18"/>
  <c r="I67" i="18"/>
  <c r="J69" i="18"/>
  <c r="G16" i="8"/>
  <c r="G17" i="8"/>
  <c r="F38" i="5"/>
  <c r="J53" i="18"/>
  <c r="G37" i="18"/>
  <c r="G40" i="18" s="1"/>
  <c r="E14" i="5"/>
  <c r="I55" i="18"/>
  <c r="H58" i="18"/>
  <c r="H61" i="18" s="1"/>
  <c r="E59" i="1"/>
  <c r="E13" i="5"/>
  <c r="D10" i="2"/>
  <c r="C27" i="11"/>
  <c r="C28" i="11" s="1"/>
  <c r="E23" i="11"/>
  <c r="E24" i="11" s="1"/>
  <c r="D17" i="5"/>
  <c r="D18" i="5" s="1"/>
  <c r="C23" i="11"/>
  <c r="C24" i="11" s="1"/>
  <c r="B17" i="5"/>
  <c r="B18" i="5" s="1"/>
  <c r="I3" i="18"/>
  <c r="H12" i="18"/>
  <c r="H17" i="18" s="1"/>
  <c r="H22" i="18" s="1"/>
  <c r="I11" i="18"/>
  <c r="J7" i="18"/>
  <c r="F14" i="11"/>
  <c r="E17" i="11"/>
  <c r="C30" i="11" l="1"/>
  <c r="G7" i="5"/>
  <c r="G86" i="18"/>
  <c r="G56" i="1" s="1"/>
  <c r="H71" i="18"/>
  <c r="H74" i="18" s="1"/>
  <c r="H10" i="5" s="1"/>
  <c r="H80" i="18"/>
  <c r="H9" i="5" s="1"/>
  <c r="M48" i="18"/>
  <c r="L50" i="18"/>
  <c r="K43" i="18"/>
  <c r="J45" i="18"/>
  <c r="K69" i="18"/>
  <c r="K65" i="18"/>
  <c r="J67" i="18"/>
  <c r="H17" i="8"/>
  <c r="H16" i="8"/>
  <c r="H37" i="18"/>
  <c r="H40" i="18" s="1"/>
  <c r="K53" i="18"/>
  <c r="F10" i="11"/>
  <c r="F40" i="8"/>
  <c r="E15" i="5"/>
  <c r="F14" i="5"/>
  <c r="J55" i="18"/>
  <c r="I58" i="18"/>
  <c r="I61" i="18" s="1"/>
  <c r="F59" i="1"/>
  <c r="F13" i="5"/>
  <c r="G40" i="8" s="1"/>
  <c r="D34" i="8"/>
  <c r="C37" i="5"/>
  <c r="E10" i="2"/>
  <c r="B42" i="5"/>
  <c r="K7" i="18"/>
  <c r="J11" i="18"/>
  <c r="I12" i="18"/>
  <c r="I17" i="18" s="1"/>
  <c r="I22" i="18" s="1"/>
  <c r="J3" i="18"/>
  <c r="G14" i="11"/>
  <c r="F17" i="11"/>
  <c r="H7" i="5" l="1"/>
  <c r="H11" i="5" s="1"/>
  <c r="H86" i="18"/>
  <c r="H56" i="1" s="1"/>
  <c r="H38" i="8"/>
  <c r="G38" i="5"/>
  <c r="G11" i="5"/>
  <c r="I71" i="18"/>
  <c r="I74" i="18" s="1"/>
  <c r="I10" i="5" s="1"/>
  <c r="I80" i="18"/>
  <c r="I9" i="5" s="1"/>
  <c r="N48" i="18"/>
  <c r="M50" i="18"/>
  <c r="L43" i="18"/>
  <c r="K45" i="18"/>
  <c r="L65" i="18"/>
  <c r="K67" i="18"/>
  <c r="L69" i="18"/>
  <c r="G13" i="5"/>
  <c r="H40" i="8" s="1"/>
  <c r="G59" i="1"/>
  <c r="I37" i="18"/>
  <c r="I40" i="18" s="1"/>
  <c r="L53" i="18"/>
  <c r="F15" i="5"/>
  <c r="G10" i="11"/>
  <c r="K55" i="18"/>
  <c r="J58" i="18"/>
  <c r="J61" i="18" s="1"/>
  <c r="E17" i="5"/>
  <c r="F23" i="11"/>
  <c r="F24" i="11" s="1"/>
  <c r="G14" i="5"/>
  <c r="C40" i="5"/>
  <c r="D35" i="8"/>
  <c r="F11" i="2"/>
  <c r="J12" i="18"/>
  <c r="J17" i="18" s="1"/>
  <c r="J22" i="18" s="1"/>
  <c r="K3" i="18"/>
  <c r="L7" i="18"/>
  <c r="K11" i="18"/>
  <c r="G17" i="11"/>
  <c r="H14" i="11"/>
  <c r="H38" i="5" l="1"/>
  <c r="I38" i="8"/>
  <c r="I7" i="5"/>
  <c r="I11" i="5" s="1"/>
  <c r="I86" i="18"/>
  <c r="I56" i="1" s="1"/>
  <c r="E18" i="5"/>
  <c r="J71" i="18"/>
  <c r="J74" i="18" s="1"/>
  <c r="J10" i="5" s="1"/>
  <c r="J80" i="18"/>
  <c r="J9" i="5" s="1"/>
  <c r="O48" i="18"/>
  <c r="N50" i="18"/>
  <c r="M43" i="18"/>
  <c r="L45" i="18"/>
  <c r="M69" i="18"/>
  <c r="M65" i="18"/>
  <c r="L67" i="18"/>
  <c r="J16" i="8"/>
  <c r="J17" i="8"/>
  <c r="J37" i="18"/>
  <c r="J40" i="18" s="1"/>
  <c r="L55" i="18"/>
  <c r="K58" i="18"/>
  <c r="K61" i="18" s="1"/>
  <c r="H10" i="11"/>
  <c r="H14" i="5"/>
  <c r="G15" i="5"/>
  <c r="G23" i="11"/>
  <c r="G24" i="11" s="1"/>
  <c r="F17" i="5"/>
  <c r="F18" i="5" s="1"/>
  <c r="H13" i="5"/>
  <c r="H59" i="1"/>
  <c r="I17" i="8"/>
  <c r="M53" i="18"/>
  <c r="I16" i="8"/>
  <c r="D27" i="11"/>
  <c r="D28" i="11" s="1"/>
  <c r="D30" i="11" s="1"/>
  <c r="D11" i="2"/>
  <c r="C42" i="5"/>
  <c r="L11" i="18"/>
  <c r="M7" i="18"/>
  <c r="K12" i="18"/>
  <c r="K17" i="18" s="1"/>
  <c r="K22" i="18" s="1"/>
  <c r="L3" i="18"/>
  <c r="H17" i="11"/>
  <c r="I14" i="11"/>
  <c r="I38" i="5" l="1"/>
  <c r="J38" i="8"/>
  <c r="J56" i="1"/>
  <c r="J38" i="5" s="1"/>
  <c r="J7" i="5"/>
  <c r="J11" i="5" s="1"/>
  <c r="J86" i="18"/>
  <c r="K71" i="18"/>
  <c r="K74" i="18" s="1"/>
  <c r="K10" i="5" s="1"/>
  <c r="K80" i="18"/>
  <c r="K9" i="5" s="1"/>
  <c r="P48" i="18"/>
  <c r="O50" i="18"/>
  <c r="N43" i="18"/>
  <c r="M45" i="18"/>
  <c r="N65" i="18"/>
  <c r="M67" i="18"/>
  <c r="N69" i="18"/>
  <c r="K16" i="8"/>
  <c r="K17" i="8"/>
  <c r="K38" i="8"/>
  <c r="N53" i="18"/>
  <c r="M55" i="18"/>
  <c r="L58" i="18"/>
  <c r="L61" i="18" s="1"/>
  <c r="I14" i="5"/>
  <c r="G17" i="5"/>
  <c r="H23" i="11"/>
  <c r="H24" i="11" s="1"/>
  <c r="K37" i="18"/>
  <c r="K40" i="18" s="1"/>
  <c r="I10" i="11"/>
  <c r="H15" i="5"/>
  <c r="I40" i="8"/>
  <c r="I13" i="5"/>
  <c r="J40" i="8" s="1"/>
  <c r="I59" i="1"/>
  <c r="E11" i="2"/>
  <c r="E34" i="8"/>
  <c r="D37" i="5"/>
  <c r="L12" i="18"/>
  <c r="L17" i="18" s="1"/>
  <c r="L22" i="18" s="1"/>
  <c r="M3" i="18"/>
  <c r="M11" i="18"/>
  <c r="N7" i="18"/>
  <c r="J14" i="11"/>
  <c r="I17" i="11"/>
  <c r="K7" i="5" l="1"/>
  <c r="K11" i="5" s="1"/>
  <c r="K86" i="18"/>
  <c r="K56" i="1" s="1"/>
  <c r="G18" i="5"/>
  <c r="L71" i="18"/>
  <c r="L74" i="18" s="1"/>
  <c r="L10" i="5" s="1"/>
  <c r="L80" i="18"/>
  <c r="L9" i="5" s="1"/>
  <c r="Q48" i="18"/>
  <c r="P50" i="18"/>
  <c r="O43" i="18"/>
  <c r="N45" i="18"/>
  <c r="O69" i="18"/>
  <c r="O65" i="18"/>
  <c r="N67" i="18"/>
  <c r="L17" i="8"/>
  <c r="L16" i="8"/>
  <c r="I23" i="11"/>
  <c r="I24" i="11" s="1"/>
  <c r="H17" i="5"/>
  <c r="H18" i="5" s="1"/>
  <c r="J14" i="5"/>
  <c r="L37" i="18"/>
  <c r="L40" i="18" s="1"/>
  <c r="O53" i="18"/>
  <c r="N55" i="18"/>
  <c r="M58" i="18"/>
  <c r="M61" i="18" s="1"/>
  <c r="J10" i="11"/>
  <c r="I15" i="5"/>
  <c r="J59" i="1"/>
  <c r="J13" i="5"/>
  <c r="K40" i="8" s="1"/>
  <c r="E35" i="8"/>
  <c r="F12" i="2"/>
  <c r="D40" i="5"/>
  <c r="O7" i="18"/>
  <c r="N11" i="18"/>
  <c r="M12" i="18"/>
  <c r="M17" i="18" s="1"/>
  <c r="M22" i="18" s="1"/>
  <c r="N3" i="18"/>
  <c r="K14" i="11"/>
  <c r="J17" i="11"/>
  <c r="K38" i="5" l="1"/>
  <c r="L38" i="8"/>
  <c r="L56" i="1"/>
  <c r="L7" i="5"/>
  <c r="L11" i="5" s="1"/>
  <c r="L86" i="18"/>
  <c r="M71" i="18"/>
  <c r="M74" i="18" s="1"/>
  <c r="M10" i="5" s="1"/>
  <c r="N10" i="5" s="1"/>
  <c r="B6" i="15" s="1"/>
  <c r="M80" i="18"/>
  <c r="M9" i="5" s="1"/>
  <c r="N9" i="5" s="1"/>
  <c r="B5" i="15" s="1"/>
  <c r="R48" i="18"/>
  <c r="Q50" i="18"/>
  <c r="P43" i="18"/>
  <c r="O45" i="18"/>
  <c r="P65" i="18"/>
  <c r="O67" i="18"/>
  <c r="P69" i="18"/>
  <c r="M17" i="8"/>
  <c r="L38" i="5"/>
  <c r="M38" i="8"/>
  <c r="M37" i="18"/>
  <c r="M40" i="18" s="1"/>
  <c r="P53" i="18"/>
  <c r="K13" i="5"/>
  <c r="L40" i="8" s="1"/>
  <c r="K59" i="1"/>
  <c r="K10" i="11"/>
  <c r="J15" i="5"/>
  <c r="J23" i="11"/>
  <c r="J24" i="11" s="1"/>
  <c r="I17" i="5"/>
  <c r="K14" i="5"/>
  <c r="O55" i="18"/>
  <c r="N58" i="18"/>
  <c r="N61" i="18" s="1"/>
  <c r="D12" i="2"/>
  <c r="E27" i="11"/>
  <c r="E28" i="11" s="1"/>
  <c r="E30" i="11" s="1"/>
  <c r="D42" i="5"/>
  <c r="N12" i="18"/>
  <c r="N17" i="18" s="1"/>
  <c r="N22" i="18" s="1"/>
  <c r="O3" i="18"/>
  <c r="P7" i="18"/>
  <c r="O11" i="18"/>
  <c r="K17" i="11"/>
  <c r="L14" i="11"/>
  <c r="M56" i="1" l="1"/>
  <c r="M38" i="5" s="1"/>
  <c r="N38" i="5" s="1"/>
  <c r="B33" i="15" s="1"/>
  <c r="M86" i="18"/>
  <c r="M7" i="5"/>
  <c r="I18" i="5"/>
  <c r="N71" i="18"/>
  <c r="N74" i="18" s="1"/>
  <c r="B10" i="6" s="1"/>
  <c r="N80" i="18"/>
  <c r="B9" i="6" s="1"/>
  <c r="S48" i="18"/>
  <c r="R50" i="18"/>
  <c r="Q43" i="18"/>
  <c r="P45" i="18"/>
  <c r="Q69" i="18"/>
  <c r="Q65" i="18"/>
  <c r="P67" i="18"/>
  <c r="K15" i="5"/>
  <c r="K17" i="5" s="1"/>
  <c r="K18" i="5" s="1"/>
  <c r="L13" i="5"/>
  <c r="M40" i="8" s="1"/>
  <c r="L59" i="1"/>
  <c r="N37" i="18"/>
  <c r="N40" i="18" s="1"/>
  <c r="N17" i="8"/>
  <c r="O17" i="8" s="1"/>
  <c r="K23" i="11"/>
  <c r="K24" i="11" s="1"/>
  <c r="J17" i="5"/>
  <c r="J18" i="5" s="1"/>
  <c r="M16" i="8"/>
  <c r="Q53" i="18"/>
  <c r="P55" i="18"/>
  <c r="O58" i="18"/>
  <c r="O61" i="18" s="1"/>
  <c r="L10" i="11"/>
  <c r="L14" i="5"/>
  <c r="F34" i="8"/>
  <c r="E37" i="5"/>
  <c r="E12" i="2"/>
  <c r="P3" i="18"/>
  <c r="O12" i="18"/>
  <c r="O17" i="18" s="1"/>
  <c r="O22" i="18" s="1"/>
  <c r="P11" i="18"/>
  <c r="Q7" i="18"/>
  <c r="L17" i="11"/>
  <c r="M14" i="11"/>
  <c r="N38" i="8" l="1"/>
  <c r="O38" i="8" s="1"/>
  <c r="M11" i="5"/>
  <c r="N7" i="5"/>
  <c r="B3" i="15" s="1"/>
  <c r="B7" i="15" s="1"/>
  <c r="B7" i="6"/>
  <c r="N86" i="18"/>
  <c r="N56" i="1" s="1"/>
  <c r="O71" i="18"/>
  <c r="O74" i="18" s="1"/>
  <c r="C10" i="6" s="1"/>
  <c r="O80" i="18"/>
  <c r="C9" i="6" s="1"/>
  <c r="L23" i="11"/>
  <c r="L24" i="11" s="1"/>
  <c r="T48" i="18"/>
  <c r="S50" i="18"/>
  <c r="R43" i="18"/>
  <c r="Q45" i="18"/>
  <c r="R65" i="18"/>
  <c r="Q67" i="18"/>
  <c r="R69" i="18"/>
  <c r="B17" i="9"/>
  <c r="B16" i="9"/>
  <c r="O37" i="18"/>
  <c r="O40" i="18" s="1"/>
  <c r="Q55" i="18"/>
  <c r="P58" i="18"/>
  <c r="P61" i="18" s="1"/>
  <c r="M14" i="5"/>
  <c r="N14" i="5" s="1"/>
  <c r="B10" i="15" s="1"/>
  <c r="L15" i="5"/>
  <c r="M10" i="11"/>
  <c r="M13" i="5"/>
  <c r="N40" i="8" s="1"/>
  <c r="O40" i="8" s="1"/>
  <c r="M59" i="1"/>
  <c r="R53" i="18"/>
  <c r="N16" i="8"/>
  <c r="O16" i="8" s="1"/>
  <c r="F35" i="8"/>
  <c r="F13" i="2"/>
  <c r="E40" i="5"/>
  <c r="Q11" i="18"/>
  <c r="R7" i="18"/>
  <c r="P12" i="18"/>
  <c r="P17" i="18" s="1"/>
  <c r="P22" i="18" s="1"/>
  <c r="Q3" i="18"/>
  <c r="N14" i="11"/>
  <c r="M17" i="11"/>
  <c r="B38" i="6" l="1"/>
  <c r="B38" i="9"/>
  <c r="B11" i="6"/>
  <c r="N11" i="5"/>
  <c r="O56" i="1"/>
  <c r="C38" i="6" s="1"/>
  <c r="C7" i="6"/>
  <c r="C11" i="6" s="1"/>
  <c r="O86" i="18"/>
  <c r="P71" i="18"/>
  <c r="P74" i="18" s="1"/>
  <c r="D10" i="6" s="1"/>
  <c r="P80" i="18"/>
  <c r="D9" i="6" s="1"/>
  <c r="U48" i="18"/>
  <c r="T50" i="18"/>
  <c r="S43" i="18"/>
  <c r="R45" i="18"/>
  <c r="S69" i="18"/>
  <c r="S65" i="18"/>
  <c r="R67" i="18"/>
  <c r="S53" i="18"/>
  <c r="B13" i="6"/>
  <c r="N59" i="1"/>
  <c r="P37" i="18"/>
  <c r="P40" i="18" s="1"/>
  <c r="M15" i="5"/>
  <c r="N15" i="5" s="1"/>
  <c r="N10" i="11"/>
  <c r="N13" i="5"/>
  <c r="B9" i="15" s="1"/>
  <c r="B11" i="15" s="1"/>
  <c r="B13" i="15" s="1"/>
  <c r="M23" i="11"/>
  <c r="M24" i="11" s="1"/>
  <c r="L17" i="5"/>
  <c r="R55" i="18"/>
  <c r="Q58" i="18"/>
  <c r="Q61" i="18" s="1"/>
  <c r="B14" i="6"/>
  <c r="C17" i="9"/>
  <c r="E42" i="5"/>
  <c r="F27" i="11"/>
  <c r="F28" i="11" s="1"/>
  <c r="F30" i="11" s="1"/>
  <c r="D13" i="2"/>
  <c r="R11" i="18"/>
  <c r="S7" i="18"/>
  <c r="Q12" i="18"/>
  <c r="Q17" i="18" s="1"/>
  <c r="Q22" i="18" s="1"/>
  <c r="R3" i="18"/>
  <c r="B14" i="12"/>
  <c r="N17" i="11"/>
  <c r="P56" i="1" l="1"/>
  <c r="D38" i="9" s="1"/>
  <c r="D7" i="6"/>
  <c r="P86" i="18"/>
  <c r="C38" i="9"/>
  <c r="L18" i="5"/>
  <c r="Q71" i="18"/>
  <c r="Q74" i="18" s="1"/>
  <c r="E10" i="6" s="1"/>
  <c r="Q80" i="18"/>
  <c r="E9" i="6" s="1"/>
  <c r="V48" i="18"/>
  <c r="U50" i="18"/>
  <c r="T43" i="18"/>
  <c r="S45" i="18"/>
  <c r="T65" i="18"/>
  <c r="S67" i="18"/>
  <c r="T69" i="18"/>
  <c r="D16" i="9"/>
  <c r="D38" i="6"/>
  <c r="S55" i="18"/>
  <c r="R58" i="18"/>
  <c r="R61" i="18" s="1"/>
  <c r="B10" i="12"/>
  <c r="B15" i="6"/>
  <c r="C13" i="6"/>
  <c r="O59" i="1"/>
  <c r="Q37" i="18"/>
  <c r="Q40" i="18" s="1"/>
  <c r="M17" i="5"/>
  <c r="M18" i="5" s="1"/>
  <c r="N23" i="11"/>
  <c r="N24" i="11" s="1"/>
  <c r="C14" i="6"/>
  <c r="D17" i="9"/>
  <c r="T53" i="18"/>
  <c r="B40" i="9"/>
  <c r="C16" i="9"/>
  <c r="G34" i="8"/>
  <c r="F37" i="5"/>
  <c r="F40" i="5" s="1"/>
  <c r="E13" i="2"/>
  <c r="S11" i="18"/>
  <c r="T7" i="18"/>
  <c r="R12" i="18"/>
  <c r="R17" i="18" s="1"/>
  <c r="R22" i="18" s="1"/>
  <c r="S3" i="18"/>
  <c r="C14" i="12"/>
  <c r="B17" i="12"/>
  <c r="E7" i="6" l="1"/>
  <c r="E11" i="6" s="1"/>
  <c r="Q86" i="18"/>
  <c r="Q56" i="1" s="1"/>
  <c r="D11" i="6"/>
  <c r="N17" i="5"/>
  <c r="N18" i="5" s="1"/>
  <c r="R71" i="18"/>
  <c r="R74" i="18" s="1"/>
  <c r="F10" i="6" s="1"/>
  <c r="R80" i="18"/>
  <c r="F9" i="6" s="1"/>
  <c r="W48" i="18"/>
  <c r="V50" i="18"/>
  <c r="U43" i="18"/>
  <c r="T45" i="18"/>
  <c r="U69" i="18"/>
  <c r="U65" i="18"/>
  <c r="T67" i="18"/>
  <c r="E16" i="9"/>
  <c r="E17" i="9"/>
  <c r="D14" i="6"/>
  <c r="C15" i="6"/>
  <c r="P59" i="1"/>
  <c r="D13" i="6"/>
  <c r="B17" i="6"/>
  <c r="B23" i="12"/>
  <c r="B24" i="12" s="1"/>
  <c r="C10" i="12"/>
  <c r="R37" i="18"/>
  <c r="R40" i="18" s="1"/>
  <c r="U53" i="18"/>
  <c r="C40" i="9"/>
  <c r="T55" i="18"/>
  <c r="S58" i="18"/>
  <c r="S61" i="18" s="1"/>
  <c r="G35" i="8"/>
  <c r="F14" i="2"/>
  <c r="F42" i="5"/>
  <c r="S12" i="18"/>
  <c r="S17" i="18" s="1"/>
  <c r="S22" i="18" s="1"/>
  <c r="T3" i="18"/>
  <c r="T11" i="18"/>
  <c r="U7" i="18"/>
  <c r="C17" i="12"/>
  <c r="D14" i="12"/>
  <c r="E38" i="9" l="1"/>
  <c r="E38" i="6"/>
  <c r="F7" i="6"/>
  <c r="R86" i="18"/>
  <c r="R56" i="1" s="1"/>
  <c r="B18" i="6"/>
  <c r="S71" i="18"/>
  <c r="S74" i="18" s="1"/>
  <c r="G10" i="6" s="1"/>
  <c r="S80" i="18"/>
  <c r="G9" i="6" s="1"/>
  <c r="X48" i="18"/>
  <c r="W50" i="18"/>
  <c r="V43" i="18"/>
  <c r="U45" i="18"/>
  <c r="V65" i="18"/>
  <c r="U67" i="18"/>
  <c r="V69" i="18"/>
  <c r="F17" i="9"/>
  <c r="U55" i="18"/>
  <c r="T58" i="18"/>
  <c r="T61" i="18" s="1"/>
  <c r="D10" i="12"/>
  <c r="D15" i="6"/>
  <c r="C23" i="12"/>
  <c r="C24" i="12" s="1"/>
  <c r="C17" i="6"/>
  <c r="C18" i="6" s="1"/>
  <c r="E13" i="6"/>
  <c r="E40" i="9" s="1"/>
  <c r="Q59" i="1"/>
  <c r="V53" i="18"/>
  <c r="D40" i="9"/>
  <c r="S37" i="18"/>
  <c r="S40" i="18" s="1"/>
  <c r="E14" i="6"/>
  <c r="D14" i="2"/>
  <c r="G27" i="11"/>
  <c r="G28" i="11" s="1"/>
  <c r="G30" i="11" s="1"/>
  <c r="U11" i="18"/>
  <c r="V7" i="18"/>
  <c r="U3" i="18"/>
  <c r="T12" i="18"/>
  <c r="T17" i="18" s="1"/>
  <c r="T22" i="18" s="1"/>
  <c r="E14" i="12"/>
  <c r="D17" i="12"/>
  <c r="F38" i="6" l="1"/>
  <c r="F38" i="9"/>
  <c r="F11" i="6"/>
  <c r="G7" i="6"/>
  <c r="G11" i="6" s="1"/>
  <c r="S86" i="18"/>
  <c r="S56" i="1" s="1"/>
  <c r="T71" i="18"/>
  <c r="T74" i="18" s="1"/>
  <c r="H10" i="6" s="1"/>
  <c r="T80" i="18"/>
  <c r="H9" i="6" s="1"/>
  <c r="Y48" i="18"/>
  <c r="X50" i="18"/>
  <c r="W43" i="18"/>
  <c r="V45" i="18"/>
  <c r="W69" i="18"/>
  <c r="W65" i="18"/>
  <c r="V67" i="18"/>
  <c r="G16" i="9"/>
  <c r="F13" i="6"/>
  <c r="R59" i="1"/>
  <c r="E10" i="12"/>
  <c r="E15" i="6"/>
  <c r="D23" i="12"/>
  <c r="D24" i="12" s="1"/>
  <c r="D17" i="6"/>
  <c r="D18" i="6" s="1"/>
  <c r="V55" i="18"/>
  <c r="U58" i="18"/>
  <c r="U61" i="18" s="1"/>
  <c r="F16" i="9"/>
  <c r="T37" i="18"/>
  <c r="T40" i="18" s="1"/>
  <c r="W53" i="18"/>
  <c r="F14" i="6"/>
  <c r="G17" i="9"/>
  <c r="H34" i="8"/>
  <c r="G37" i="5"/>
  <c r="G40" i="5" s="1"/>
  <c r="E14" i="2"/>
  <c r="U12" i="18"/>
  <c r="U17" i="18" s="1"/>
  <c r="U22" i="18" s="1"/>
  <c r="V3" i="18"/>
  <c r="W7" i="18"/>
  <c r="V11" i="18"/>
  <c r="F14" i="12"/>
  <c r="E17" i="12"/>
  <c r="G38" i="9" l="1"/>
  <c r="G38" i="6"/>
  <c r="H7" i="6"/>
  <c r="T86" i="18"/>
  <c r="T56" i="1" s="1"/>
  <c r="U71" i="18"/>
  <c r="U74" i="18" s="1"/>
  <c r="I10" i="6" s="1"/>
  <c r="U80" i="18"/>
  <c r="I9" i="6" s="1"/>
  <c r="Z48" i="18"/>
  <c r="Y50" i="18"/>
  <c r="X43" i="18"/>
  <c r="W45" i="18"/>
  <c r="X65" i="18"/>
  <c r="W67" i="18"/>
  <c r="X69" i="18"/>
  <c r="F15" i="6"/>
  <c r="F17" i="6" s="1"/>
  <c r="F18" i="6" s="1"/>
  <c r="H16" i="9"/>
  <c r="H17" i="9"/>
  <c r="W55" i="18"/>
  <c r="V58" i="18"/>
  <c r="V61" i="18" s="1"/>
  <c r="F10" i="12"/>
  <c r="F40" i="9"/>
  <c r="G13" i="6"/>
  <c r="G10" i="12" s="1"/>
  <c r="S59" i="1"/>
  <c r="U37" i="18"/>
  <c r="U40" i="18" s="1"/>
  <c r="X53" i="18"/>
  <c r="E17" i="6"/>
  <c r="E23" i="12"/>
  <c r="E24" i="12" s="1"/>
  <c r="G14" i="6"/>
  <c r="H35" i="8"/>
  <c r="F15" i="2"/>
  <c r="G42" i="5"/>
  <c r="V12" i="18"/>
  <c r="V17" i="18" s="1"/>
  <c r="V22" i="18" s="1"/>
  <c r="W3" i="18"/>
  <c r="W11" i="18"/>
  <c r="X7" i="18"/>
  <c r="G14" i="12"/>
  <c r="F17" i="12"/>
  <c r="H38" i="9" l="1"/>
  <c r="H38" i="6"/>
  <c r="H11" i="6"/>
  <c r="I7" i="6"/>
  <c r="I11" i="6" s="1"/>
  <c r="U86" i="18"/>
  <c r="U56" i="1" s="1"/>
  <c r="E18" i="6"/>
  <c r="V71" i="18"/>
  <c r="V74" i="18" s="1"/>
  <c r="J10" i="6" s="1"/>
  <c r="V80" i="18"/>
  <c r="J9" i="6" s="1"/>
  <c r="G15" i="6"/>
  <c r="G17" i="6" s="1"/>
  <c r="G18" i="6" s="1"/>
  <c r="AA48" i="18"/>
  <c r="Z50" i="18"/>
  <c r="Y43" i="18"/>
  <c r="X45" i="18"/>
  <c r="F23" i="12"/>
  <c r="F24" i="12" s="1"/>
  <c r="Y69" i="18"/>
  <c r="Y65" i="18"/>
  <c r="X67" i="18"/>
  <c r="I16" i="9"/>
  <c r="I17" i="9"/>
  <c r="Y53" i="18"/>
  <c r="X55" i="18"/>
  <c r="W58" i="18"/>
  <c r="W61" i="18" s="1"/>
  <c r="V37" i="18"/>
  <c r="V40" i="18" s="1"/>
  <c r="G40" i="9"/>
  <c r="H14" i="6"/>
  <c r="T59" i="1"/>
  <c r="H13" i="6"/>
  <c r="H27" i="11"/>
  <c r="H28" i="11" s="1"/>
  <c r="H30" i="11" s="1"/>
  <c r="D15" i="2"/>
  <c r="Y7" i="18"/>
  <c r="X11" i="18"/>
  <c r="W12" i="18"/>
  <c r="W17" i="18" s="1"/>
  <c r="W22" i="18" s="1"/>
  <c r="X3" i="18"/>
  <c r="G17" i="12"/>
  <c r="H14" i="12"/>
  <c r="I38" i="6" l="1"/>
  <c r="I38" i="9"/>
  <c r="V56" i="1"/>
  <c r="J7" i="6"/>
  <c r="V86" i="18"/>
  <c r="G23" i="12"/>
  <c r="G24" i="12" s="1"/>
  <c r="W71" i="18"/>
  <c r="W74" i="18" s="1"/>
  <c r="K10" i="6" s="1"/>
  <c r="W80" i="18"/>
  <c r="K9" i="6" s="1"/>
  <c r="AB48" i="18"/>
  <c r="AA50" i="18"/>
  <c r="Z43" i="18"/>
  <c r="Y45" i="18"/>
  <c r="Z65" i="18"/>
  <c r="Y67" i="18"/>
  <c r="Z69" i="18"/>
  <c r="J16" i="9"/>
  <c r="J17" i="9"/>
  <c r="J38" i="6"/>
  <c r="J38" i="9"/>
  <c r="H40" i="9"/>
  <c r="H15" i="6"/>
  <c r="H10" i="12"/>
  <c r="Y55" i="18"/>
  <c r="X58" i="18"/>
  <c r="X61" i="18" s="1"/>
  <c r="W37" i="18"/>
  <c r="W40" i="18" s="1"/>
  <c r="Z53" i="18"/>
  <c r="I14" i="6"/>
  <c r="I13" i="6"/>
  <c r="U59" i="1"/>
  <c r="E15" i="2"/>
  <c r="I34" i="8"/>
  <c r="H37" i="5"/>
  <c r="H40" i="5" s="1"/>
  <c r="H42" i="5" s="1"/>
  <c r="Y11" i="18"/>
  <c r="Z7" i="18"/>
  <c r="X12" i="18"/>
  <c r="X17" i="18" s="1"/>
  <c r="X22" i="18" s="1"/>
  <c r="Y3" i="18"/>
  <c r="I14" i="12"/>
  <c r="H17" i="12"/>
  <c r="J11" i="6" l="1"/>
  <c r="W56" i="1"/>
  <c r="K7" i="6"/>
  <c r="K11" i="6" s="1"/>
  <c r="W86" i="18"/>
  <c r="X71" i="18"/>
  <c r="X74" i="18" s="1"/>
  <c r="L10" i="6" s="1"/>
  <c r="X80" i="18"/>
  <c r="L9" i="6" s="1"/>
  <c r="AC48" i="18"/>
  <c r="AB50" i="18"/>
  <c r="AA43" i="18"/>
  <c r="Z45" i="18"/>
  <c r="AA69" i="18"/>
  <c r="AA65" i="18"/>
  <c r="Z67" i="18"/>
  <c r="K17" i="9"/>
  <c r="K16" i="9"/>
  <c r="K38" i="6"/>
  <c r="K38" i="9"/>
  <c r="H23" i="12"/>
  <c r="H24" i="12" s="1"/>
  <c r="H17" i="6"/>
  <c r="AA53" i="18"/>
  <c r="Z55" i="18"/>
  <c r="Y58" i="18"/>
  <c r="Y61" i="18" s="1"/>
  <c r="J14" i="6"/>
  <c r="X37" i="18"/>
  <c r="X40" i="18" s="1"/>
  <c r="I10" i="12"/>
  <c r="I15" i="6"/>
  <c r="I40" i="9"/>
  <c r="J13" i="6"/>
  <c r="J40" i="9" s="1"/>
  <c r="V59" i="1"/>
  <c r="I35" i="8"/>
  <c r="F16" i="2"/>
  <c r="Y12" i="18"/>
  <c r="Y17" i="18" s="1"/>
  <c r="Y22" i="18" s="1"/>
  <c r="Z3" i="18"/>
  <c r="AA7" i="18"/>
  <c r="Z11" i="18"/>
  <c r="J14" i="12"/>
  <c r="I17" i="12"/>
  <c r="L7" i="6" l="1"/>
  <c r="L11" i="6" s="1"/>
  <c r="X86" i="18"/>
  <c r="X56" i="1" s="1"/>
  <c r="H18" i="6"/>
  <c r="Y71" i="18"/>
  <c r="Y74" i="18" s="1"/>
  <c r="M10" i="6" s="1"/>
  <c r="N10" i="6" s="1"/>
  <c r="C6" i="15" s="1"/>
  <c r="Y80" i="18"/>
  <c r="M9" i="6" s="1"/>
  <c r="N9" i="6" s="1"/>
  <c r="C5" i="15" s="1"/>
  <c r="AD48" i="18"/>
  <c r="AC50" i="18"/>
  <c r="AB43" i="18"/>
  <c r="AA45" i="18"/>
  <c r="AB65" i="18"/>
  <c r="AA67" i="18"/>
  <c r="AB69" i="18"/>
  <c r="L17" i="9"/>
  <c r="L16" i="9"/>
  <c r="Y37" i="18"/>
  <c r="Y40" i="18" s="1"/>
  <c r="AA55" i="18"/>
  <c r="Z58" i="18"/>
  <c r="Z61" i="18" s="1"/>
  <c r="I23" i="12"/>
  <c r="I24" i="12" s="1"/>
  <c r="I17" i="6"/>
  <c r="I18" i="6" s="1"/>
  <c r="J15" i="6"/>
  <c r="K13" i="6"/>
  <c r="K10" i="12" s="1"/>
  <c r="W59" i="1"/>
  <c r="J10" i="12"/>
  <c r="AB53" i="18"/>
  <c r="K14" i="6"/>
  <c r="D16" i="2"/>
  <c r="I27" i="11"/>
  <c r="I28" i="11" s="1"/>
  <c r="I30" i="11" s="1"/>
  <c r="AA3" i="18"/>
  <c r="Z12" i="18"/>
  <c r="Z17" i="18" s="1"/>
  <c r="Z22" i="18" s="1"/>
  <c r="AA11" i="18"/>
  <c r="AB7" i="18"/>
  <c r="K14" i="12"/>
  <c r="J17" i="12"/>
  <c r="L38" i="6" l="1"/>
  <c r="L38" i="9"/>
  <c r="Y56" i="1"/>
  <c r="M7" i="6"/>
  <c r="Y86" i="18"/>
  <c r="Z71" i="18"/>
  <c r="Z74" i="18" s="1"/>
  <c r="B10" i="7" s="1"/>
  <c r="Z80" i="18"/>
  <c r="B9" i="7" s="1"/>
  <c r="AE48" i="18"/>
  <c r="AD50" i="18"/>
  <c r="AC43" i="18"/>
  <c r="AB45" i="18"/>
  <c r="K40" i="9"/>
  <c r="AC69" i="18"/>
  <c r="AC65" i="18"/>
  <c r="AB67" i="18"/>
  <c r="K15" i="6"/>
  <c r="K17" i="6" s="1"/>
  <c r="K18" i="6" s="1"/>
  <c r="M16" i="9"/>
  <c r="N16" i="9" s="1"/>
  <c r="M17" i="9"/>
  <c r="N17" i="9" s="1"/>
  <c r="M38" i="6"/>
  <c r="N38" i="6" s="1"/>
  <c r="C33" i="15" s="1"/>
  <c r="M38" i="9"/>
  <c r="N38" i="9" s="1"/>
  <c r="Z37" i="18"/>
  <c r="Z40" i="18" s="1"/>
  <c r="X59" i="1"/>
  <c r="L13" i="6"/>
  <c r="AB55" i="18"/>
  <c r="AA58" i="18"/>
  <c r="AA61" i="18" s="1"/>
  <c r="AC53" i="18"/>
  <c r="J17" i="6"/>
  <c r="J18" i="6" s="1"/>
  <c r="J23" i="12"/>
  <c r="J24" i="12" s="1"/>
  <c r="L14" i="6"/>
  <c r="J34" i="8"/>
  <c r="I37" i="5"/>
  <c r="I40" i="5" s="1"/>
  <c r="I42" i="5" s="1"/>
  <c r="E16" i="2"/>
  <c r="AB11" i="18"/>
  <c r="AC7" i="18"/>
  <c r="AA12" i="18"/>
  <c r="AA17" i="18" s="1"/>
  <c r="AA22" i="18" s="1"/>
  <c r="AB3" i="18"/>
  <c r="K17" i="12"/>
  <c r="L14" i="12"/>
  <c r="M11" i="6" l="1"/>
  <c r="N7" i="6"/>
  <c r="C3" i="15" s="1"/>
  <c r="C7" i="15" s="1"/>
  <c r="B7" i="7"/>
  <c r="Z86" i="18"/>
  <c r="Z56" i="1" s="1"/>
  <c r="K23" i="12"/>
  <c r="K24" i="12" s="1"/>
  <c r="AA71" i="18"/>
  <c r="AA74" i="18" s="1"/>
  <c r="C10" i="7" s="1"/>
  <c r="AA80" i="18"/>
  <c r="C9" i="7" s="1"/>
  <c r="AF48" i="18"/>
  <c r="AE50" i="18"/>
  <c r="AD43" i="18"/>
  <c r="AC45" i="18"/>
  <c r="AD65" i="18"/>
  <c r="AC67" i="18"/>
  <c r="AD69" i="18"/>
  <c r="AA37" i="18"/>
  <c r="AA40" i="18" s="1"/>
  <c r="AD53" i="18"/>
  <c r="B17" i="10"/>
  <c r="AC55" i="18"/>
  <c r="AB58" i="18"/>
  <c r="AB61" i="18" s="1"/>
  <c r="M14" i="6"/>
  <c r="N14" i="6" s="1"/>
  <c r="C10" i="15" s="1"/>
  <c r="L40" i="9"/>
  <c r="L10" i="12"/>
  <c r="L15" i="6"/>
  <c r="Y59" i="1"/>
  <c r="M13" i="6"/>
  <c r="J35" i="8"/>
  <c r="F17" i="2"/>
  <c r="AC11" i="18"/>
  <c r="AD7" i="18"/>
  <c r="AC3" i="18"/>
  <c r="AB12" i="18"/>
  <c r="AB17" i="18" s="1"/>
  <c r="AB22" i="18" s="1"/>
  <c r="M14" i="12"/>
  <c r="L17" i="12"/>
  <c r="B38" i="10" l="1"/>
  <c r="B38" i="7"/>
  <c r="B11" i="7"/>
  <c r="N11" i="6"/>
  <c r="AA56" i="1"/>
  <c r="C38" i="7" s="1"/>
  <c r="C7" i="7"/>
  <c r="C11" i="7" s="1"/>
  <c r="AA86" i="18"/>
  <c r="AB71" i="18"/>
  <c r="AB74" i="18" s="1"/>
  <c r="D10" i="7" s="1"/>
  <c r="AB80" i="18"/>
  <c r="D9" i="7" s="1"/>
  <c r="AG48" i="18"/>
  <c r="AF50" i="18"/>
  <c r="AE43" i="18"/>
  <c r="AD45" i="18"/>
  <c r="AE69" i="18"/>
  <c r="AE65" i="18"/>
  <c r="AD67" i="18"/>
  <c r="C17" i="10"/>
  <c r="Z59" i="1"/>
  <c r="C16" i="10"/>
  <c r="B13" i="7"/>
  <c r="AE53" i="18"/>
  <c r="B16" i="10"/>
  <c r="AD55" i="18"/>
  <c r="AC58" i="18"/>
  <c r="AC61" i="18" s="1"/>
  <c r="B14" i="7"/>
  <c r="L17" i="6"/>
  <c r="L18" i="6" s="1"/>
  <c r="L23" i="12"/>
  <c r="L24" i="12" s="1"/>
  <c r="AB37" i="18"/>
  <c r="AB40" i="18" s="1"/>
  <c r="M10" i="12"/>
  <c r="M15" i="6"/>
  <c r="N13" i="6"/>
  <c r="C9" i="15" s="1"/>
  <c r="C11" i="15" s="1"/>
  <c r="C13" i="15" s="1"/>
  <c r="M40" i="9"/>
  <c r="N40" i="9" s="1"/>
  <c r="J27" i="11"/>
  <c r="J28" i="11" s="1"/>
  <c r="J30" i="11" s="1"/>
  <c r="D17" i="2"/>
  <c r="AC12" i="18"/>
  <c r="AC17" i="18" s="1"/>
  <c r="AC22" i="18" s="1"/>
  <c r="AD3" i="18"/>
  <c r="AE7" i="18"/>
  <c r="AD11" i="18"/>
  <c r="M17" i="12"/>
  <c r="B14" i="13"/>
  <c r="C38" i="10" l="1"/>
  <c r="D7" i="7"/>
  <c r="D11" i="7" s="1"/>
  <c r="AB86" i="18"/>
  <c r="AB56" i="1" s="1"/>
  <c r="AC71" i="18"/>
  <c r="AC74" i="18" s="1"/>
  <c r="E10" i="7" s="1"/>
  <c r="AC80" i="18"/>
  <c r="E9" i="7" s="1"/>
  <c r="AH48" i="18"/>
  <c r="AG50" i="18"/>
  <c r="AF43" i="18"/>
  <c r="AE45" i="18"/>
  <c r="AF65" i="18"/>
  <c r="AE67" i="18"/>
  <c r="AF69" i="18"/>
  <c r="D16" i="10"/>
  <c r="AE55" i="18"/>
  <c r="AD58" i="18"/>
  <c r="AD61" i="18" s="1"/>
  <c r="B10" i="13"/>
  <c r="B15" i="7"/>
  <c r="B40" i="10"/>
  <c r="M23" i="12"/>
  <c r="M24" i="12" s="1"/>
  <c r="M17" i="6"/>
  <c r="N15" i="6"/>
  <c r="C14" i="7"/>
  <c r="D17" i="10"/>
  <c r="AC37" i="18"/>
  <c r="AC40" i="18" s="1"/>
  <c r="AF53" i="18"/>
  <c r="AA59" i="1"/>
  <c r="C13" i="7"/>
  <c r="K34" i="8"/>
  <c r="J37" i="5"/>
  <c r="J40" i="5" s="1"/>
  <c r="J42" i="5" s="1"/>
  <c r="E17" i="2"/>
  <c r="AF7" i="18"/>
  <c r="AE11" i="18"/>
  <c r="AD12" i="18"/>
  <c r="AD17" i="18" s="1"/>
  <c r="AD22" i="18" s="1"/>
  <c r="AE3" i="18"/>
  <c r="C14" i="13"/>
  <c r="B17" i="13"/>
  <c r="D38" i="10" l="1"/>
  <c r="D38" i="7"/>
  <c r="E7" i="7"/>
  <c r="AC86" i="18"/>
  <c r="AC56" i="1" s="1"/>
  <c r="M18" i="6"/>
  <c r="N17" i="6"/>
  <c r="N18" i="6" s="1"/>
  <c r="AD71" i="18"/>
  <c r="AD74" i="18" s="1"/>
  <c r="F10" i="7" s="1"/>
  <c r="AD80" i="18"/>
  <c r="F9" i="7" s="1"/>
  <c r="AI48" i="18"/>
  <c r="AH50" i="18"/>
  <c r="AG43" i="18"/>
  <c r="AF45" i="18"/>
  <c r="AG69" i="18"/>
  <c r="AG65" i="18"/>
  <c r="AF67" i="18"/>
  <c r="E16" i="10"/>
  <c r="E17" i="10"/>
  <c r="B17" i="7"/>
  <c r="B23" i="13"/>
  <c r="B24" i="13" s="1"/>
  <c r="AF55" i="18"/>
  <c r="AE58" i="18"/>
  <c r="AE61" i="18" s="1"/>
  <c r="C15" i="7"/>
  <c r="C10" i="13"/>
  <c r="AG53" i="18"/>
  <c r="C40" i="10"/>
  <c r="D14" i="7"/>
  <c r="AD37" i="18"/>
  <c r="AD40" i="18" s="1"/>
  <c r="D13" i="7"/>
  <c r="AB59" i="1"/>
  <c r="K35" i="8"/>
  <c r="F18" i="2"/>
  <c r="AE12" i="18"/>
  <c r="AE17" i="18" s="1"/>
  <c r="AE22" i="18" s="1"/>
  <c r="AF3" i="18"/>
  <c r="AF11" i="18"/>
  <c r="AG7" i="18"/>
  <c r="D14" i="13"/>
  <c r="C17" i="13"/>
  <c r="E38" i="7" l="1"/>
  <c r="E38" i="10"/>
  <c r="E11" i="7"/>
  <c r="F7" i="7"/>
  <c r="F11" i="7" s="1"/>
  <c r="AD86" i="18"/>
  <c r="AD56" i="1" s="1"/>
  <c r="B18" i="7"/>
  <c r="AE71" i="18"/>
  <c r="AE74" i="18" s="1"/>
  <c r="G10" i="7" s="1"/>
  <c r="AE80" i="18"/>
  <c r="G9" i="7" s="1"/>
  <c r="AJ48" i="18"/>
  <c r="AI50" i="18"/>
  <c r="AH43" i="18"/>
  <c r="AG45" i="18"/>
  <c r="AH65" i="18"/>
  <c r="AG67" i="18"/>
  <c r="AH69" i="18"/>
  <c r="F16" i="10"/>
  <c r="F17" i="10"/>
  <c r="AH53" i="18"/>
  <c r="D10" i="13"/>
  <c r="D15" i="7"/>
  <c r="D40" i="10"/>
  <c r="AG55" i="18"/>
  <c r="AF58" i="18"/>
  <c r="AF61" i="18" s="1"/>
  <c r="E14" i="7"/>
  <c r="AE37" i="18"/>
  <c r="AE40" i="18" s="1"/>
  <c r="C23" i="13"/>
  <c r="C24" i="13" s="1"/>
  <c r="C17" i="7"/>
  <c r="C18" i="7" s="1"/>
  <c r="AC59" i="1"/>
  <c r="E13" i="7"/>
  <c r="E40" i="10" s="1"/>
  <c r="D18" i="2"/>
  <c r="K27" i="11"/>
  <c r="K28" i="11" s="1"/>
  <c r="K30" i="11" s="1"/>
  <c r="AF12" i="18"/>
  <c r="AF17" i="18" s="1"/>
  <c r="AF22" i="18" s="1"/>
  <c r="AG3" i="18"/>
  <c r="AG11" i="18"/>
  <c r="AH7" i="18"/>
  <c r="E14" i="13"/>
  <c r="D17" i="13"/>
  <c r="F38" i="10" l="1"/>
  <c r="F38" i="7"/>
  <c r="G7" i="7"/>
  <c r="AE86" i="18"/>
  <c r="AE56" i="1" s="1"/>
  <c r="AF71" i="18"/>
  <c r="AF74" i="18" s="1"/>
  <c r="H10" i="7" s="1"/>
  <c r="AF80" i="18"/>
  <c r="H9" i="7" s="1"/>
  <c r="AK48" i="18"/>
  <c r="AK50" i="18" s="1"/>
  <c r="AJ50" i="18"/>
  <c r="AI43" i="18"/>
  <c r="AH45" i="18"/>
  <c r="AI69" i="18"/>
  <c r="AI65" i="18"/>
  <c r="AH67" i="18"/>
  <c r="AF37" i="18"/>
  <c r="AF40" i="18" s="1"/>
  <c r="E10" i="13"/>
  <c r="E15" i="7"/>
  <c r="D23" i="13"/>
  <c r="D24" i="13" s="1"/>
  <c r="D17" i="7"/>
  <c r="D18" i="7" s="1"/>
  <c r="AI53" i="18"/>
  <c r="G17" i="10"/>
  <c r="G16" i="10"/>
  <c r="F14" i="7"/>
  <c r="AH55" i="18"/>
  <c r="AG58" i="18"/>
  <c r="AG61" i="18" s="1"/>
  <c r="F13" i="7"/>
  <c r="AD59" i="1"/>
  <c r="L34" i="8"/>
  <c r="K37" i="5"/>
  <c r="K40" i="5" s="1"/>
  <c r="K42" i="5" s="1"/>
  <c r="E18" i="2"/>
  <c r="AH11" i="18"/>
  <c r="AI7" i="18"/>
  <c r="AG12" i="18"/>
  <c r="AG17" i="18" s="1"/>
  <c r="AG22" i="18" s="1"/>
  <c r="AH3" i="18"/>
  <c r="E17" i="13"/>
  <c r="F14" i="13"/>
  <c r="G38" i="10" l="1"/>
  <c r="G38" i="7"/>
  <c r="G11" i="7"/>
  <c r="H7" i="7"/>
  <c r="H11" i="7" s="1"/>
  <c r="AF86" i="18"/>
  <c r="AF56" i="1" s="1"/>
  <c r="AG71" i="18"/>
  <c r="AG74" i="18" s="1"/>
  <c r="I10" i="7" s="1"/>
  <c r="AG80" i="18"/>
  <c r="I9" i="7" s="1"/>
  <c r="AJ43" i="18"/>
  <c r="AI45" i="18"/>
  <c r="AJ65" i="18"/>
  <c r="AI67" i="18"/>
  <c r="AJ69" i="18"/>
  <c r="AG37" i="18"/>
  <c r="AG40" i="18" s="1"/>
  <c r="F10" i="13"/>
  <c r="G13" i="7"/>
  <c r="G40" i="10" s="1"/>
  <c r="AE59" i="1"/>
  <c r="E23" i="13"/>
  <c r="E24" i="13" s="1"/>
  <c r="E17" i="7"/>
  <c r="H16" i="10"/>
  <c r="H17" i="10"/>
  <c r="AJ53" i="18"/>
  <c r="AI55" i="18"/>
  <c r="AH58" i="18"/>
  <c r="AH61" i="18" s="1"/>
  <c r="F15" i="7"/>
  <c r="G14" i="7"/>
  <c r="F40" i="10"/>
  <c r="L35" i="8"/>
  <c r="F19" i="2"/>
  <c r="AH12" i="18"/>
  <c r="AH17" i="18" s="1"/>
  <c r="AH22" i="18" s="1"/>
  <c r="AI3" i="18"/>
  <c r="AJ7" i="18"/>
  <c r="AI11" i="18"/>
  <c r="G14" i="13"/>
  <c r="F17" i="13"/>
  <c r="H38" i="10" l="1"/>
  <c r="H38" i="7"/>
  <c r="AG56" i="1"/>
  <c r="I38" i="7" s="1"/>
  <c r="I7" i="7"/>
  <c r="I11" i="7" s="1"/>
  <c r="AG86" i="18"/>
  <c r="E18" i="7"/>
  <c r="AH71" i="18"/>
  <c r="AH74" i="18" s="1"/>
  <c r="J10" i="7" s="1"/>
  <c r="AH80" i="18"/>
  <c r="J9" i="7" s="1"/>
  <c r="AK43" i="18"/>
  <c r="AK45" i="18" s="1"/>
  <c r="AJ45" i="18"/>
  <c r="AK69" i="18"/>
  <c r="AK65" i="18"/>
  <c r="AK67" i="18" s="1"/>
  <c r="AJ67" i="18"/>
  <c r="I16" i="10"/>
  <c r="I17" i="10"/>
  <c r="F17" i="7"/>
  <c r="F18" i="7" s="1"/>
  <c r="F23" i="13"/>
  <c r="F24" i="13" s="1"/>
  <c r="H13" i="7"/>
  <c r="H40" i="10" s="1"/>
  <c r="AF59" i="1"/>
  <c r="G15" i="7"/>
  <c r="G10" i="13"/>
  <c r="H14" i="7"/>
  <c r="AK53" i="18"/>
  <c r="AJ55" i="18"/>
  <c r="AI58" i="18"/>
  <c r="AI61" i="18" s="1"/>
  <c r="AH37" i="18"/>
  <c r="AH40" i="18" s="1"/>
  <c r="L27" i="11"/>
  <c r="L28" i="11" s="1"/>
  <c r="L30" i="11" s="1"/>
  <c r="D19" i="2"/>
  <c r="AK7" i="18"/>
  <c r="AK11" i="18" s="1"/>
  <c r="AJ11" i="18"/>
  <c r="AI12" i="18"/>
  <c r="AI17" i="18" s="1"/>
  <c r="AI22" i="18" s="1"/>
  <c r="AJ3" i="18"/>
  <c r="H14" i="13"/>
  <c r="G17" i="13"/>
  <c r="I38" i="10" l="1"/>
  <c r="AH56" i="1"/>
  <c r="J7" i="7"/>
  <c r="J11" i="7" s="1"/>
  <c r="AH86" i="18"/>
  <c r="AI71" i="18"/>
  <c r="AI74" i="18" s="1"/>
  <c r="K10" i="7" s="1"/>
  <c r="AI80" i="18"/>
  <c r="K9" i="7" s="1"/>
  <c r="J17" i="10"/>
  <c r="J16" i="10"/>
  <c r="J38" i="7"/>
  <c r="J38" i="10"/>
  <c r="H15" i="7"/>
  <c r="H10" i="13"/>
  <c r="I14" i="7"/>
  <c r="AK55" i="18"/>
  <c r="AK58" i="18" s="1"/>
  <c r="AK61" i="18" s="1"/>
  <c r="AJ58" i="18"/>
  <c r="AJ61" i="18" s="1"/>
  <c r="AI37" i="18"/>
  <c r="AI40" i="18" s="1"/>
  <c r="G23" i="13"/>
  <c r="G24" i="13" s="1"/>
  <c r="G17" i="7"/>
  <c r="G18" i="7" s="1"/>
  <c r="I13" i="7"/>
  <c r="AG59" i="1"/>
  <c r="E19" i="2"/>
  <c r="M34" i="8"/>
  <c r="L37" i="5"/>
  <c r="L40" i="5" s="1"/>
  <c r="L42" i="5" s="1"/>
  <c r="AK3" i="18"/>
  <c r="AK12" i="18" s="1"/>
  <c r="AK17" i="18" s="1"/>
  <c r="AJ12" i="18"/>
  <c r="AJ17" i="18" s="1"/>
  <c r="AJ22" i="18" s="1"/>
  <c r="I14" i="13"/>
  <c r="H17" i="13"/>
  <c r="K7" i="7" l="1"/>
  <c r="K11" i="7" s="1"/>
  <c r="AI86" i="18"/>
  <c r="AI56" i="1" s="1"/>
  <c r="AJ71" i="18"/>
  <c r="AJ74" i="18" s="1"/>
  <c r="L10" i="7" s="1"/>
  <c r="AJ80" i="18"/>
  <c r="L9" i="7" s="1"/>
  <c r="K16" i="10"/>
  <c r="K17" i="10"/>
  <c r="J13" i="7"/>
  <c r="AH59" i="1"/>
  <c r="I15" i="7"/>
  <c r="I10" i="13"/>
  <c r="H23" i="13"/>
  <c r="H24" i="13" s="1"/>
  <c r="H17" i="7"/>
  <c r="H18" i="7" s="1"/>
  <c r="I40" i="10"/>
  <c r="J14" i="7"/>
  <c r="AK22" i="18"/>
  <c r="AJ37" i="18"/>
  <c r="AJ40" i="18" s="1"/>
  <c r="M35" i="8"/>
  <c r="F20" i="2"/>
  <c r="I17" i="13"/>
  <c r="J14" i="13"/>
  <c r="K38" i="7" l="1"/>
  <c r="K38" i="10"/>
  <c r="AJ56" i="1"/>
  <c r="L38" i="7" s="1"/>
  <c r="L7" i="7"/>
  <c r="L11" i="7" s="1"/>
  <c r="AJ86" i="18"/>
  <c r="AK71" i="18"/>
  <c r="AK74" i="18" s="1"/>
  <c r="M10" i="7" s="1"/>
  <c r="N10" i="7" s="1"/>
  <c r="D6" i="15" s="1"/>
  <c r="AK80" i="18"/>
  <c r="M9" i="7" s="1"/>
  <c r="N9" i="7" s="1"/>
  <c r="D5" i="15" s="1"/>
  <c r="J15" i="7"/>
  <c r="J17" i="7" s="1"/>
  <c r="J18" i="7" s="1"/>
  <c r="L16" i="10"/>
  <c r="L38" i="10"/>
  <c r="J10" i="13"/>
  <c r="I23" i="13"/>
  <c r="I24" i="13" s="1"/>
  <c r="I17" i="7"/>
  <c r="I18" i="7" s="1"/>
  <c r="K14" i="7"/>
  <c r="K13" i="7"/>
  <c r="AI59" i="1"/>
  <c r="AK37" i="18"/>
  <c r="AK40" i="18" s="1"/>
  <c r="J40" i="10"/>
  <c r="D20" i="2"/>
  <c r="M27" i="11"/>
  <c r="M28" i="11" s="1"/>
  <c r="M30" i="11" s="1"/>
  <c r="K14" i="13"/>
  <c r="J17" i="13"/>
  <c r="AK56" i="1" l="1"/>
  <c r="AK86" i="18"/>
  <c r="M7" i="7"/>
  <c r="J23" i="13"/>
  <c r="J24" i="13" s="1"/>
  <c r="K10" i="13"/>
  <c r="K15" i="7"/>
  <c r="M14" i="7"/>
  <c r="M38" i="7"/>
  <c r="N38" i="7" s="1"/>
  <c r="D33" i="15" s="1"/>
  <c r="K40" i="10"/>
  <c r="L14" i="7"/>
  <c r="M38" i="10"/>
  <c r="N38" i="10" s="1"/>
  <c r="L17" i="10"/>
  <c r="L13" i="7"/>
  <c r="AJ59" i="1"/>
  <c r="N34" i="8"/>
  <c r="M37" i="5"/>
  <c r="E20" i="2"/>
  <c r="L14" i="13"/>
  <c r="K17" i="13"/>
  <c r="M11" i="7" l="1"/>
  <c r="N7" i="7"/>
  <c r="D3" i="15" s="1"/>
  <c r="D7" i="15" s="1"/>
  <c r="M17" i="10"/>
  <c r="N17" i="10" s="1"/>
  <c r="L10" i="13"/>
  <c r="M13" i="7"/>
  <c r="AK59" i="1"/>
  <c r="K23" i="13"/>
  <c r="K24" i="13" s="1"/>
  <c r="K17" i="7"/>
  <c r="K18" i="7" s="1"/>
  <c r="M16" i="10"/>
  <c r="N16" i="10" s="1"/>
  <c r="L15" i="7"/>
  <c r="N14" i="7"/>
  <c r="D10" i="15" s="1"/>
  <c r="L40" i="10"/>
  <c r="N35" i="8"/>
  <c r="O35" i="8" s="1"/>
  <c r="F21" i="2"/>
  <c r="O34" i="8"/>
  <c r="M40" i="5"/>
  <c r="N37" i="5"/>
  <c r="B32" i="15" s="1"/>
  <c r="B35" i="15" s="1"/>
  <c r="M14" i="13"/>
  <c r="M17" i="13" s="1"/>
  <c r="L17" i="13"/>
  <c r="N11" i="7" l="1"/>
  <c r="L17" i="7"/>
  <c r="L18" i="7" s="1"/>
  <c r="L23" i="13"/>
  <c r="L24" i="13" s="1"/>
  <c r="M10" i="13"/>
  <c r="M15" i="7"/>
  <c r="N13" i="7"/>
  <c r="D9" i="15" s="1"/>
  <c r="D11" i="15" s="1"/>
  <c r="D13" i="15" s="1"/>
  <c r="M40" i="10"/>
  <c r="N40" i="10" s="1"/>
  <c r="N27" i="11"/>
  <c r="N28" i="11" s="1"/>
  <c r="N30" i="11" s="1"/>
  <c r="D21" i="2"/>
  <c r="M42" i="5"/>
  <c r="N40" i="5"/>
  <c r="N42" i="5" l="1"/>
  <c r="M23" i="13"/>
  <c r="M24" i="13" s="1"/>
  <c r="M17" i="7"/>
  <c r="N15" i="7"/>
  <c r="B34" i="9"/>
  <c r="B37" i="6"/>
  <c r="E21" i="2"/>
  <c r="M18" i="7" l="1"/>
  <c r="N17" i="7"/>
  <c r="N18" i="7" s="1"/>
  <c r="B37" i="15"/>
  <c r="N44" i="5"/>
  <c r="B40" i="6"/>
  <c r="B35" i="9"/>
  <c r="F22" i="2"/>
  <c r="K44" i="5" l="1"/>
  <c r="B44" i="5"/>
  <c r="E44" i="5"/>
  <c r="M44" i="5"/>
  <c r="J44" i="5"/>
  <c r="G44" i="5"/>
  <c r="H44" i="5"/>
  <c r="L44" i="5"/>
  <c r="D44" i="5"/>
  <c r="I44" i="5"/>
  <c r="C44" i="5"/>
  <c r="F44" i="5"/>
  <c r="B39" i="15"/>
  <c r="B27" i="12"/>
  <c r="B28" i="12" s="1"/>
  <c r="B30" i="12" s="1"/>
  <c r="D22" i="2"/>
  <c r="B42" i="6"/>
  <c r="M39" i="8" l="1"/>
  <c r="M41" i="8" s="1"/>
  <c r="M43" i="8" s="1"/>
  <c r="L46" i="5"/>
  <c r="L101" i="16" s="1"/>
  <c r="N39" i="8"/>
  <c r="N41" i="8" s="1"/>
  <c r="N43" i="8" s="1"/>
  <c r="M46" i="5"/>
  <c r="M101" i="16" s="1"/>
  <c r="D39" i="8"/>
  <c r="D41" i="8" s="1"/>
  <c r="D43" i="8" s="1"/>
  <c r="C46" i="5"/>
  <c r="C101" i="16" s="1"/>
  <c r="I39" i="8"/>
  <c r="I41" i="8" s="1"/>
  <c r="I43" i="8" s="1"/>
  <c r="H46" i="5"/>
  <c r="H101" i="16" s="1"/>
  <c r="F39" i="8"/>
  <c r="F41" i="8" s="1"/>
  <c r="F43" i="8" s="1"/>
  <c r="E46" i="5"/>
  <c r="E101" i="16" s="1"/>
  <c r="C39" i="8"/>
  <c r="B46" i="5"/>
  <c r="G39" i="8"/>
  <c r="G41" i="8" s="1"/>
  <c r="G43" i="8" s="1"/>
  <c r="F46" i="5"/>
  <c r="F101" i="16" s="1"/>
  <c r="J39" i="8"/>
  <c r="J41" i="8" s="1"/>
  <c r="J43" i="8" s="1"/>
  <c r="I46" i="5"/>
  <c r="I101" i="16" s="1"/>
  <c r="H39" i="8"/>
  <c r="H41" i="8" s="1"/>
  <c r="H43" i="8" s="1"/>
  <c r="G46" i="5"/>
  <c r="G101" i="16" s="1"/>
  <c r="E39" i="8"/>
  <c r="E41" i="8" s="1"/>
  <c r="E43" i="8" s="1"/>
  <c r="D46" i="5"/>
  <c r="D101" i="16" s="1"/>
  <c r="K39" i="8"/>
  <c r="K41" i="8" s="1"/>
  <c r="K43" i="8" s="1"/>
  <c r="J46" i="5"/>
  <c r="J101" i="16" s="1"/>
  <c r="L39" i="8"/>
  <c r="L41" i="8" s="1"/>
  <c r="L43" i="8" s="1"/>
  <c r="K46" i="5"/>
  <c r="K101" i="16" s="1"/>
  <c r="E22" i="2"/>
  <c r="C34" i="9"/>
  <c r="C37" i="6"/>
  <c r="O39" i="8" l="1"/>
  <c r="C41" i="8"/>
  <c r="B101" i="16"/>
  <c r="C36" i="11"/>
  <c r="N46" i="5"/>
  <c r="B41" i="15" s="1"/>
  <c r="C40" i="6"/>
  <c r="C35" i="9"/>
  <c r="F23" i="2"/>
  <c r="C37" i="11" l="1"/>
  <c r="C39" i="11" s="1"/>
  <c r="D36" i="11"/>
  <c r="C43" i="8"/>
  <c r="O41" i="8"/>
  <c r="C27" i="12"/>
  <c r="C28" i="12" s="1"/>
  <c r="C30" i="12" s="1"/>
  <c r="D23" i="2"/>
  <c r="C42" i="6"/>
  <c r="D7" i="8" l="1"/>
  <c r="C9" i="11"/>
  <c r="C11" i="11" s="1"/>
  <c r="C19" i="11" s="1"/>
  <c r="C40" i="11" s="1"/>
  <c r="O43" i="8"/>
  <c r="C45" i="8"/>
  <c r="D45" i="8" s="1"/>
  <c r="E45" i="8" s="1"/>
  <c r="F45" i="8" s="1"/>
  <c r="G45" i="8" s="1"/>
  <c r="H45" i="8" s="1"/>
  <c r="I45" i="8" s="1"/>
  <c r="J45" i="8" s="1"/>
  <c r="K45" i="8" s="1"/>
  <c r="L45" i="8" s="1"/>
  <c r="M45" i="8" s="1"/>
  <c r="N45" i="8" s="1"/>
  <c r="O45" i="8" s="1"/>
  <c r="D37" i="11"/>
  <c r="D39" i="11" s="1"/>
  <c r="E36" i="11"/>
  <c r="E23" i="2"/>
  <c r="D34" i="9"/>
  <c r="D37" i="6"/>
  <c r="E37" i="11" l="1"/>
  <c r="E39" i="11" s="1"/>
  <c r="F36" i="11"/>
  <c r="E7" i="8"/>
  <c r="D9" i="11"/>
  <c r="D11" i="11" s="1"/>
  <c r="D19" i="11" s="1"/>
  <c r="D40" i="11" s="1"/>
  <c r="D35" i="9"/>
  <c r="F24" i="2"/>
  <c r="D40" i="6"/>
  <c r="F7" i="8" l="1"/>
  <c r="E9" i="11"/>
  <c r="E11" i="11" s="1"/>
  <c r="E19" i="11" s="1"/>
  <c r="E40" i="11" s="1"/>
  <c r="F37" i="11"/>
  <c r="F39" i="11" s="1"/>
  <c r="G36" i="11"/>
  <c r="D24" i="2"/>
  <c r="D27" i="12"/>
  <c r="D28" i="12" s="1"/>
  <c r="D30" i="12" s="1"/>
  <c r="D42" i="6"/>
  <c r="F9" i="11" l="1"/>
  <c r="F11" i="11" s="1"/>
  <c r="F19" i="11" s="1"/>
  <c r="F40" i="11" s="1"/>
  <c r="G7" i="8"/>
  <c r="G37" i="11"/>
  <c r="G39" i="11" s="1"/>
  <c r="H36" i="11"/>
  <c r="E34" i="9"/>
  <c r="E37" i="6"/>
  <c r="E24" i="2"/>
  <c r="H37" i="11" l="1"/>
  <c r="H39" i="11" s="1"/>
  <c r="I36" i="11"/>
  <c r="G9" i="11"/>
  <c r="G11" i="11" s="1"/>
  <c r="G19" i="11" s="1"/>
  <c r="G40" i="11" s="1"/>
  <c r="H7" i="8"/>
  <c r="E40" i="6"/>
  <c r="E35" i="9"/>
  <c r="F25" i="2"/>
  <c r="H9" i="11" l="1"/>
  <c r="H11" i="11" s="1"/>
  <c r="H19" i="11" s="1"/>
  <c r="H40" i="11" s="1"/>
  <c r="I7" i="8"/>
  <c r="I37" i="11"/>
  <c r="I39" i="11" s="1"/>
  <c r="J36" i="11"/>
  <c r="E42" i="6"/>
  <c r="E27" i="12"/>
  <c r="E28" i="12" s="1"/>
  <c r="E30" i="12" s="1"/>
  <c r="D25" i="2"/>
  <c r="J7" i="8" l="1"/>
  <c r="I9" i="11"/>
  <c r="I11" i="11" s="1"/>
  <c r="I19" i="11" s="1"/>
  <c r="I40" i="11" s="1"/>
  <c r="J37" i="11"/>
  <c r="J39" i="11" s="1"/>
  <c r="K36" i="11"/>
  <c r="F34" i="9"/>
  <c r="F37" i="6"/>
  <c r="E25" i="2"/>
  <c r="K37" i="11" l="1"/>
  <c r="K39" i="11" s="1"/>
  <c r="L36" i="11"/>
  <c r="K7" i="8"/>
  <c r="J9" i="11"/>
  <c r="J11" i="11" s="1"/>
  <c r="J19" i="11" s="1"/>
  <c r="J40" i="11" s="1"/>
  <c r="F40" i="6"/>
  <c r="F35" i="9"/>
  <c r="F26" i="2"/>
  <c r="L7" i="8" l="1"/>
  <c r="K9" i="11"/>
  <c r="K11" i="11" s="1"/>
  <c r="K19" i="11" s="1"/>
  <c r="K40" i="11" s="1"/>
  <c r="L37" i="11"/>
  <c r="L39" i="11" s="1"/>
  <c r="M36" i="11"/>
  <c r="F42" i="6"/>
  <c r="F27" i="12"/>
  <c r="F28" i="12" s="1"/>
  <c r="F30" i="12" s="1"/>
  <c r="D26" i="2"/>
  <c r="M37" i="11" l="1"/>
  <c r="M39" i="11" s="1"/>
  <c r="N36" i="11"/>
  <c r="L9" i="11"/>
  <c r="L11" i="11" s="1"/>
  <c r="L19" i="11" s="1"/>
  <c r="L40" i="11" s="1"/>
  <c r="M7" i="8"/>
  <c r="G34" i="9"/>
  <c r="G37" i="6"/>
  <c r="G40" i="6" s="1"/>
  <c r="E26" i="2"/>
  <c r="N37" i="11" l="1"/>
  <c r="N39" i="11" s="1"/>
  <c r="N7" i="8"/>
  <c r="M9" i="11"/>
  <c r="M11" i="11" s="1"/>
  <c r="M19" i="11" s="1"/>
  <c r="M40" i="11" s="1"/>
  <c r="G35" i="9"/>
  <c r="F27" i="2"/>
  <c r="G42" i="6"/>
  <c r="O7" i="8" l="1"/>
  <c r="B7" i="9"/>
  <c r="N9" i="11"/>
  <c r="N11" i="11" s="1"/>
  <c r="N19" i="11" s="1"/>
  <c r="N40" i="11" s="1"/>
  <c r="G27" i="12"/>
  <c r="G28" i="12" s="1"/>
  <c r="G30" i="12" s="1"/>
  <c r="D27" i="2"/>
  <c r="E27" i="2" l="1"/>
  <c r="H34" i="9"/>
  <c r="H37" i="6"/>
  <c r="H40" i="6" s="1"/>
  <c r="H42" i="6" s="1"/>
  <c r="H35" i="9" l="1"/>
  <c r="F28" i="2"/>
  <c r="D28" i="2" l="1"/>
  <c r="H27" i="12"/>
  <c r="H28" i="12" s="1"/>
  <c r="H30" i="12" s="1"/>
  <c r="I34" i="9" l="1"/>
  <c r="I37" i="6"/>
  <c r="I40" i="6" s="1"/>
  <c r="I42" i="6" s="1"/>
  <c r="E28" i="2"/>
  <c r="I35" i="9" l="1"/>
  <c r="F29" i="2"/>
  <c r="I27" i="12" l="1"/>
  <c r="I28" i="12" s="1"/>
  <c r="I30" i="12" s="1"/>
  <c r="D29" i="2"/>
  <c r="J34" i="9" l="1"/>
  <c r="J37" i="6"/>
  <c r="J40" i="6" s="1"/>
  <c r="J42" i="6" s="1"/>
  <c r="E29" i="2"/>
  <c r="J35" i="9" l="1"/>
  <c r="F30" i="2"/>
  <c r="J27" i="12" l="1"/>
  <c r="J28" i="12" s="1"/>
  <c r="J30" i="12" s="1"/>
  <c r="D30" i="2"/>
  <c r="K34" i="9" l="1"/>
  <c r="K37" i="6"/>
  <c r="K40" i="6" s="1"/>
  <c r="K42" i="6" s="1"/>
  <c r="E30" i="2"/>
  <c r="K35" i="9" l="1"/>
  <c r="F31" i="2"/>
  <c r="K27" i="12" l="1"/>
  <c r="K28" i="12" s="1"/>
  <c r="K30" i="12" s="1"/>
  <c r="D31" i="2"/>
  <c r="E31" i="2" l="1"/>
  <c r="L34" i="9"/>
  <c r="L37" i="6"/>
  <c r="L40" i="6" s="1"/>
  <c r="L42" i="6" s="1"/>
  <c r="L35" i="9" l="1"/>
  <c r="F32" i="2"/>
  <c r="D32" i="2" l="1"/>
  <c r="L27" i="12"/>
  <c r="L28" i="12" s="1"/>
  <c r="L30" i="12" s="1"/>
  <c r="M34" i="9" l="1"/>
  <c r="M37" i="6"/>
  <c r="E32" i="2"/>
  <c r="N34" i="9" l="1"/>
  <c r="M35" i="9"/>
  <c r="N35" i="9" s="1"/>
  <c r="F33" i="2"/>
  <c r="M40" i="6"/>
  <c r="N37" i="6"/>
  <c r="C32" i="15" s="1"/>
  <c r="C35" i="15" s="1"/>
  <c r="M27" i="12" l="1"/>
  <c r="M28" i="12" s="1"/>
  <c r="M30" i="12" s="1"/>
  <c r="D33" i="2"/>
  <c r="M42" i="6"/>
  <c r="N40" i="6"/>
  <c r="N42" i="6" l="1"/>
  <c r="B37" i="7"/>
  <c r="B34" i="10"/>
  <c r="E33" i="2"/>
  <c r="C37" i="15" l="1"/>
  <c r="N44" i="6"/>
  <c r="B40" i="7"/>
  <c r="B35" i="10"/>
  <c r="F34" i="2"/>
  <c r="G44" i="6" l="1"/>
  <c r="M44" i="6"/>
  <c r="L44" i="6"/>
  <c r="E44" i="6"/>
  <c r="F44" i="6"/>
  <c r="B44" i="6"/>
  <c r="K44" i="6"/>
  <c r="I44" i="6"/>
  <c r="C44" i="6"/>
  <c r="J44" i="6"/>
  <c r="H44" i="6"/>
  <c r="D44" i="6"/>
  <c r="C39" i="15"/>
  <c r="D34" i="2"/>
  <c r="B27" i="13"/>
  <c r="B28" i="13" s="1"/>
  <c r="B30" i="13" s="1"/>
  <c r="B42" i="7"/>
  <c r="D39" i="9" l="1"/>
  <c r="D41" i="9" s="1"/>
  <c r="D43" i="9" s="1"/>
  <c r="D46" i="6"/>
  <c r="P101" i="16" s="1"/>
  <c r="E39" i="9"/>
  <c r="E41" i="9" s="1"/>
  <c r="E43" i="9" s="1"/>
  <c r="E46" i="6"/>
  <c r="Q101" i="16" s="1"/>
  <c r="H39" i="9"/>
  <c r="H41" i="9" s="1"/>
  <c r="H43" i="9" s="1"/>
  <c r="H46" i="6"/>
  <c r="T101" i="16" s="1"/>
  <c r="K39" i="9"/>
  <c r="K41" i="9" s="1"/>
  <c r="K43" i="9" s="1"/>
  <c r="K46" i="6"/>
  <c r="W101" i="16" s="1"/>
  <c r="L39" i="9"/>
  <c r="L41" i="9" s="1"/>
  <c r="L43" i="9" s="1"/>
  <c r="L46" i="6"/>
  <c r="X101" i="16" s="1"/>
  <c r="J39" i="9"/>
  <c r="J41" i="9" s="1"/>
  <c r="J43" i="9" s="1"/>
  <c r="J46" i="6"/>
  <c r="V101" i="16" s="1"/>
  <c r="B46" i="6"/>
  <c r="B39" i="9"/>
  <c r="M39" i="9"/>
  <c r="M41" i="9" s="1"/>
  <c r="M43" i="9" s="1"/>
  <c r="M46" i="6"/>
  <c r="Y101" i="16" s="1"/>
  <c r="I39" i="9"/>
  <c r="I41" i="9" s="1"/>
  <c r="I43" i="9" s="1"/>
  <c r="I46" i="6"/>
  <c r="U101" i="16" s="1"/>
  <c r="C39" i="9"/>
  <c r="C41" i="9" s="1"/>
  <c r="C43" i="9" s="1"/>
  <c r="C46" i="6"/>
  <c r="O101" i="16" s="1"/>
  <c r="F39" i="9"/>
  <c r="F41" i="9" s="1"/>
  <c r="F43" i="9" s="1"/>
  <c r="F46" i="6"/>
  <c r="R101" i="16" s="1"/>
  <c r="G39" i="9"/>
  <c r="G41" i="9" s="1"/>
  <c r="G43" i="9" s="1"/>
  <c r="G46" i="6"/>
  <c r="S101" i="16" s="1"/>
  <c r="C37" i="7"/>
  <c r="C34" i="10"/>
  <c r="E34" i="2"/>
  <c r="N46" i="6" l="1"/>
  <c r="C41" i="15" s="1"/>
  <c r="N101" i="16"/>
  <c r="B36" i="12"/>
  <c r="N39" i="9"/>
  <c r="B41" i="9"/>
  <c r="C40" i="7"/>
  <c r="C35" i="10"/>
  <c r="F35" i="2"/>
  <c r="C36" i="12" l="1"/>
  <c r="B37" i="12"/>
  <c r="B39" i="12" s="1"/>
  <c r="B43" i="9"/>
  <c r="N41" i="9"/>
  <c r="C42" i="7"/>
  <c r="C27" i="13"/>
  <c r="C28" i="13" s="1"/>
  <c r="C30" i="13" s="1"/>
  <c r="D35" i="2"/>
  <c r="B45" i="9" l="1"/>
  <c r="C45" i="9" s="1"/>
  <c r="D45" i="9" s="1"/>
  <c r="E45" i="9" s="1"/>
  <c r="F45" i="9" s="1"/>
  <c r="G45" i="9" s="1"/>
  <c r="H45" i="9" s="1"/>
  <c r="I45" i="9" s="1"/>
  <c r="J45" i="9" s="1"/>
  <c r="K45" i="9" s="1"/>
  <c r="L45" i="9" s="1"/>
  <c r="M45" i="9" s="1"/>
  <c r="N45" i="9" s="1"/>
  <c r="N43" i="9"/>
  <c r="B9" i="12"/>
  <c r="B11" i="12" s="1"/>
  <c r="B19" i="12" s="1"/>
  <c r="C7" i="9"/>
  <c r="C37" i="12"/>
  <c r="C39" i="12" s="1"/>
  <c r="D36" i="12"/>
  <c r="E35" i="2"/>
  <c r="D34" i="10"/>
  <c r="D37" i="7"/>
  <c r="D7" i="9" l="1"/>
  <c r="C9" i="12"/>
  <c r="C11" i="12" s="1"/>
  <c r="C19" i="12" s="1"/>
  <c r="E36" i="12"/>
  <c r="D37" i="12"/>
  <c r="D39" i="12" s="1"/>
  <c r="D35" i="10"/>
  <c r="F36" i="2"/>
  <c r="D40" i="7"/>
  <c r="E37" i="12" l="1"/>
  <c r="E39" i="12" s="1"/>
  <c r="F36" i="12"/>
  <c r="E7" i="9"/>
  <c r="D9" i="12"/>
  <c r="D11" i="12" s="1"/>
  <c r="D19" i="12" s="1"/>
  <c r="D42" i="7"/>
  <c r="D36" i="2"/>
  <c r="D27" i="13"/>
  <c r="D28" i="13" s="1"/>
  <c r="D30" i="13" s="1"/>
  <c r="F7" i="9" l="1"/>
  <c r="E9" i="12"/>
  <c r="E11" i="12" s="1"/>
  <c r="E19" i="12" s="1"/>
  <c r="F37" i="12"/>
  <c r="F39" i="12" s="1"/>
  <c r="G36" i="12"/>
  <c r="E34" i="10"/>
  <c r="E37" i="7"/>
  <c r="E36" i="2"/>
  <c r="H36" i="12" l="1"/>
  <c r="G37" i="12"/>
  <c r="G39" i="12" s="1"/>
  <c r="F9" i="12"/>
  <c r="F11" i="12" s="1"/>
  <c r="F19" i="12" s="1"/>
  <c r="G7" i="9"/>
  <c r="E35" i="10"/>
  <c r="F37" i="2"/>
  <c r="E40" i="7"/>
  <c r="G9" i="12" l="1"/>
  <c r="G11" i="12" s="1"/>
  <c r="G19" i="12" s="1"/>
  <c r="H7" i="9"/>
  <c r="H37" i="12"/>
  <c r="H39" i="12" s="1"/>
  <c r="I36" i="12"/>
  <c r="E27" i="13"/>
  <c r="E28" i="13" s="1"/>
  <c r="E30" i="13" s="1"/>
  <c r="D37" i="2"/>
  <c r="E42" i="7"/>
  <c r="I7" i="9" l="1"/>
  <c r="H9" i="12"/>
  <c r="H11" i="12" s="1"/>
  <c r="H19" i="12" s="1"/>
  <c r="I37" i="12"/>
  <c r="I39" i="12" s="1"/>
  <c r="J36" i="12"/>
  <c r="F37" i="7"/>
  <c r="F34" i="10"/>
  <c r="E37" i="2"/>
  <c r="J37" i="12" l="1"/>
  <c r="J39" i="12" s="1"/>
  <c r="K36" i="12"/>
  <c r="I9" i="12"/>
  <c r="I11" i="12" s="1"/>
  <c r="I19" i="12" s="1"/>
  <c r="J7" i="9"/>
  <c r="F35" i="10"/>
  <c r="F38" i="2"/>
  <c r="F40" i="7"/>
  <c r="J9" i="12" l="1"/>
  <c r="J11" i="12" s="1"/>
  <c r="J19" i="12" s="1"/>
  <c r="K7" i="9"/>
  <c r="K37" i="12"/>
  <c r="K39" i="12" s="1"/>
  <c r="L36" i="12"/>
  <c r="F42" i="7"/>
  <c r="D38" i="2"/>
  <c r="F27" i="13"/>
  <c r="F28" i="13" s="1"/>
  <c r="F30" i="13" s="1"/>
  <c r="L37" i="12" l="1"/>
  <c r="L39" i="12" s="1"/>
  <c r="M36" i="12"/>
  <c r="K9" i="12"/>
  <c r="K11" i="12" s="1"/>
  <c r="K19" i="12" s="1"/>
  <c r="L7" i="9"/>
  <c r="G37" i="7"/>
  <c r="G40" i="7" s="1"/>
  <c r="G42" i="7" s="1"/>
  <c r="G34" i="10"/>
  <c r="E38" i="2"/>
  <c r="M37" i="12" l="1"/>
  <c r="M39" i="12" s="1"/>
  <c r="L9" i="12"/>
  <c r="L11" i="12" s="1"/>
  <c r="L19" i="12" s="1"/>
  <c r="M7" i="9"/>
  <c r="G35" i="10"/>
  <c r="F39" i="2"/>
  <c r="N7" i="9" l="1"/>
  <c r="M9" i="12"/>
  <c r="M11" i="12" s="1"/>
  <c r="M19" i="12" s="1"/>
  <c r="B7" i="10"/>
  <c r="G27" i="13"/>
  <c r="G28" i="13" s="1"/>
  <c r="G30" i="13" s="1"/>
  <c r="D39" i="2"/>
  <c r="E39" i="2" l="1"/>
  <c r="H34" i="10"/>
  <c r="H37" i="7"/>
  <c r="H40" i="7" s="1"/>
  <c r="H42" i="7" s="1"/>
  <c r="H35" i="10" l="1"/>
  <c r="F40" i="2"/>
  <c r="D40" i="2" l="1"/>
  <c r="H27" i="13"/>
  <c r="H28" i="13" s="1"/>
  <c r="H30" i="13" s="1"/>
  <c r="I34" i="10" l="1"/>
  <c r="I37" i="7"/>
  <c r="I40" i="7" s="1"/>
  <c r="I42" i="7" s="1"/>
  <c r="E40" i="2"/>
  <c r="I35" i="10" l="1"/>
  <c r="F41" i="2"/>
  <c r="I27" i="13" l="1"/>
  <c r="I28" i="13" s="1"/>
  <c r="I30" i="13" s="1"/>
  <c r="D41" i="2"/>
  <c r="J37" i="7" l="1"/>
  <c r="J40" i="7" s="1"/>
  <c r="J42" i="7" s="1"/>
  <c r="J34" i="10"/>
  <c r="E41" i="2"/>
  <c r="J35" i="10" l="1"/>
  <c r="F42" i="2"/>
  <c r="D42" i="2" l="1"/>
  <c r="J27" i="13"/>
  <c r="J28" i="13" s="1"/>
  <c r="J30" i="13" s="1"/>
  <c r="K37" i="7" l="1"/>
  <c r="K40" i="7" s="1"/>
  <c r="K42" i="7" s="1"/>
  <c r="K34" i="10"/>
  <c r="E42" i="2"/>
  <c r="K35" i="10" l="1"/>
  <c r="F43" i="2"/>
  <c r="K27" i="13" l="1"/>
  <c r="K28" i="13" s="1"/>
  <c r="K30" i="13" s="1"/>
  <c r="D43" i="2"/>
  <c r="E43" i="2" l="1"/>
  <c r="L34" i="10"/>
  <c r="L37" i="7"/>
  <c r="L40" i="7" s="1"/>
  <c r="L42" i="7" s="1"/>
  <c r="L35" i="10" l="1"/>
  <c r="F44" i="2"/>
  <c r="D44" i="2" l="1"/>
  <c r="L27" i="13"/>
  <c r="L28" i="13" s="1"/>
  <c r="L30" i="13" s="1"/>
  <c r="M34" i="10" l="1"/>
  <c r="M37" i="7"/>
  <c r="E44" i="2"/>
  <c r="M35" i="10" l="1"/>
  <c r="N35" i="10" s="1"/>
  <c r="F45" i="2"/>
  <c r="M40" i="7"/>
  <c r="N37" i="7"/>
  <c r="D32" i="15" s="1"/>
  <c r="D35" i="15" s="1"/>
  <c r="N34" i="10"/>
  <c r="M42" i="7" l="1"/>
  <c r="N40" i="7"/>
  <c r="M27" i="13"/>
  <c r="M28" i="13" s="1"/>
  <c r="M30" i="13" s="1"/>
  <c r="D45" i="2"/>
  <c r="E45" i="2" s="1"/>
  <c r="N42" i="7" l="1"/>
  <c r="D37" i="15" l="1"/>
  <c r="N44" i="7"/>
  <c r="H44" i="7" l="1"/>
  <c r="E44" i="7"/>
  <c r="G44" i="7"/>
  <c r="D39" i="15"/>
  <c r="D44" i="7"/>
  <c r="C44" i="7"/>
  <c r="I44" i="7"/>
  <c r="J44" i="7"/>
  <c r="F44" i="7"/>
  <c r="K44" i="7"/>
  <c r="L44" i="7"/>
  <c r="B44" i="7"/>
  <c r="M44" i="7"/>
  <c r="B46" i="7" l="1"/>
  <c r="B39" i="10"/>
  <c r="J39" i="10"/>
  <c r="J41" i="10" s="1"/>
  <c r="J43" i="10" s="1"/>
  <c r="J46" i="7"/>
  <c r="AH101" i="16" s="1"/>
  <c r="L39" i="10"/>
  <c r="L41" i="10" s="1"/>
  <c r="L43" i="10" s="1"/>
  <c r="L46" i="7"/>
  <c r="AJ101" i="16" s="1"/>
  <c r="I39" i="10"/>
  <c r="I41" i="10" s="1"/>
  <c r="I43" i="10" s="1"/>
  <c r="I46" i="7"/>
  <c r="AG101" i="16" s="1"/>
  <c r="G39" i="10"/>
  <c r="G41" i="10" s="1"/>
  <c r="G43" i="10" s="1"/>
  <c r="G46" i="7"/>
  <c r="AE101" i="16" s="1"/>
  <c r="C39" i="10"/>
  <c r="C41" i="10" s="1"/>
  <c r="C43" i="10" s="1"/>
  <c r="C46" i="7"/>
  <c r="AA101" i="16" s="1"/>
  <c r="K39" i="10"/>
  <c r="K41" i="10" s="1"/>
  <c r="K43" i="10" s="1"/>
  <c r="K46" i="7"/>
  <c r="AI101" i="16" s="1"/>
  <c r="E39" i="10"/>
  <c r="E41" i="10" s="1"/>
  <c r="E43" i="10" s="1"/>
  <c r="E46" i="7"/>
  <c r="AC101" i="16" s="1"/>
  <c r="M39" i="10"/>
  <c r="M41" i="10" s="1"/>
  <c r="M43" i="10" s="1"/>
  <c r="M46" i="7"/>
  <c r="AK101" i="16" s="1"/>
  <c r="F39" i="10"/>
  <c r="F41" i="10" s="1"/>
  <c r="F43" i="10" s="1"/>
  <c r="F46" i="7"/>
  <c r="AD101" i="16" s="1"/>
  <c r="D39" i="10"/>
  <c r="D41" i="10" s="1"/>
  <c r="D43" i="10" s="1"/>
  <c r="D46" i="7"/>
  <c r="AB101" i="16" s="1"/>
  <c r="H39" i="10"/>
  <c r="H41" i="10" s="1"/>
  <c r="H43" i="10" s="1"/>
  <c r="H46" i="7"/>
  <c r="AF101" i="16" s="1"/>
  <c r="N39" i="10" l="1"/>
  <c r="B41" i="10"/>
  <c r="N46" i="7"/>
  <c r="D41" i="15" s="1"/>
  <c r="Z101" i="16"/>
  <c r="B36" i="13"/>
  <c r="N41" i="10" l="1"/>
  <c r="B43" i="10"/>
  <c r="C36" i="13"/>
  <c r="B37" i="13"/>
  <c r="B39" i="13" s="1"/>
  <c r="C37" i="13" l="1"/>
  <c r="C39" i="13" s="1"/>
  <c r="D36" i="13"/>
  <c r="B45" i="10"/>
  <c r="C45" i="10" s="1"/>
  <c r="D45" i="10" s="1"/>
  <c r="E45" i="10" s="1"/>
  <c r="F45" i="10" s="1"/>
  <c r="G45" i="10" s="1"/>
  <c r="H45" i="10" s="1"/>
  <c r="I45" i="10" s="1"/>
  <c r="J45" i="10" s="1"/>
  <c r="K45" i="10" s="1"/>
  <c r="L45" i="10" s="1"/>
  <c r="M45" i="10" s="1"/>
  <c r="N45" i="10" s="1"/>
  <c r="N43" i="10"/>
  <c r="C7" i="10"/>
  <c r="B9" i="13"/>
  <c r="B11" i="13" s="1"/>
  <c r="B19" i="13" s="1"/>
  <c r="E36" i="13" l="1"/>
  <c r="D37" i="13"/>
  <c r="D39" i="13" s="1"/>
  <c r="C9" i="13"/>
  <c r="C11" i="13" s="1"/>
  <c r="C19" i="13" s="1"/>
  <c r="D7" i="10"/>
  <c r="E7" i="10" l="1"/>
  <c r="D9" i="13"/>
  <c r="D11" i="13" s="1"/>
  <c r="D19" i="13" s="1"/>
  <c r="E37" i="13"/>
  <c r="E39" i="13" s="1"/>
  <c r="F36" i="13"/>
  <c r="G36" i="13" l="1"/>
  <c r="F37" i="13"/>
  <c r="F39" i="13" s="1"/>
  <c r="E9" i="13"/>
  <c r="E11" i="13" s="1"/>
  <c r="E19" i="13" s="1"/>
  <c r="F7" i="10"/>
  <c r="F9" i="13" l="1"/>
  <c r="F11" i="13" s="1"/>
  <c r="F19" i="13" s="1"/>
  <c r="G7" i="10"/>
  <c r="G37" i="13"/>
  <c r="G39" i="13" s="1"/>
  <c r="H36" i="13"/>
  <c r="H37" i="13" l="1"/>
  <c r="H39" i="13" s="1"/>
  <c r="I36" i="13"/>
  <c r="G9" i="13"/>
  <c r="G11" i="13" s="1"/>
  <c r="G19" i="13" s="1"/>
  <c r="H7" i="10"/>
  <c r="H9" i="13" l="1"/>
  <c r="H11" i="13" s="1"/>
  <c r="H19" i="13" s="1"/>
  <c r="I7" i="10"/>
  <c r="I37" i="13"/>
  <c r="I39" i="13" s="1"/>
  <c r="J36" i="13"/>
  <c r="I9" i="13" l="1"/>
  <c r="I11" i="13" s="1"/>
  <c r="I19" i="13" s="1"/>
  <c r="J7" i="10"/>
  <c r="J37" i="13"/>
  <c r="J39" i="13" s="1"/>
  <c r="K36" i="13"/>
  <c r="K7" i="10" l="1"/>
  <c r="J9" i="13"/>
  <c r="J11" i="13" s="1"/>
  <c r="J19" i="13" s="1"/>
  <c r="K37" i="13"/>
  <c r="K39" i="13" s="1"/>
  <c r="L36" i="13"/>
  <c r="L37" i="13" l="1"/>
  <c r="L39" i="13" s="1"/>
  <c r="M36" i="13"/>
  <c r="M37" i="13" s="1"/>
  <c r="M39" i="13" s="1"/>
  <c r="K9" i="13"/>
  <c r="K11" i="13" s="1"/>
  <c r="K19" i="13" s="1"/>
  <c r="L7" i="10"/>
  <c r="M7" i="10" l="1"/>
  <c r="L9" i="13"/>
  <c r="L11" i="13" s="1"/>
  <c r="L19" i="13" s="1"/>
  <c r="N7" i="10" l="1"/>
  <c r="M9" i="13"/>
  <c r="M11" i="13" s="1"/>
  <c r="M19" i="13" s="1"/>
</calcChain>
</file>

<file path=xl/sharedStrings.xml><?xml version="1.0" encoding="utf-8"?>
<sst xmlns="http://schemas.openxmlformats.org/spreadsheetml/2006/main" count="514" uniqueCount="247">
  <si>
    <t>Company Name</t>
  </si>
  <si>
    <t>What percentage of your monthly sales do you typically hold in inventory?</t>
  </si>
  <si>
    <t>What is the dollar value of the inventory you currently have on hand?</t>
  </si>
  <si>
    <t>Sources and Uses</t>
  </si>
  <si>
    <t>Source of Funds</t>
  </si>
  <si>
    <t>What is your current cash balance?</t>
  </si>
  <si>
    <t>Add: Current Loans</t>
  </si>
  <si>
    <t>Add: Current Investments from Others</t>
  </si>
  <si>
    <t>Add: Proposed Loans</t>
  </si>
  <si>
    <t>Add: Proposed Investments from Others</t>
  </si>
  <si>
    <t>Total Sources of Funds</t>
  </si>
  <si>
    <t>Amount Invested</t>
  </si>
  <si>
    <t>Month Invested</t>
  </si>
  <si>
    <t>Fixed Assets</t>
  </si>
  <si>
    <t>Equipment</t>
  </si>
  <si>
    <t>Value</t>
  </si>
  <si>
    <t>Life Expectancy in Years</t>
  </si>
  <si>
    <t>Salvage Cost</t>
  </si>
  <si>
    <t>Month Purchased</t>
  </si>
  <si>
    <t>Furniture</t>
  </si>
  <si>
    <t>Month</t>
  </si>
  <si>
    <t>Owner Draw</t>
  </si>
  <si>
    <t>Operating Expenses</t>
  </si>
  <si>
    <t>Accounting</t>
  </si>
  <si>
    <t>Advertising</t>
  </si>
  <si>
    <t>Insurance</t>
  </si>
  <si>
    <t>Licenses</t>
  </si>
  <si>
    <t>Rent</t>
  </si>
  <si>
    <t>Telephone</t>
  </si>
  <si>
    <t>Utilities</t>
  </si>
  <si>
    <t>Miscellaneous Expense %</t>
  </si>
  <si>
    <t>Income Tax %</t>
  </si>
  <si>
    <t>Accounts Payable Terms</t>
  </si>
  <si>
    <t>Monthly Total Sales</t>
  </si>
  <si>
    <t>Monthly Material Cost</t>
  </si>
  <si>
    <t>Monthly Labor Cost</t>
  </si>
  <si>
    <t>Monthly Total COGS</t>
  </si>
  <si>
    <t>Monthly Depreciation</t>
  </si>
  <si>
    <t>SBA Loan</t>
  </si>
  <si>
    <t>Loan Amount</t>
  </si>
  <si>
    <t>Length of Loan in Months</t>
  </si>
  <si>
    <t>Interest Rate</t>
  </si>
  <si>
    <t>Month Payments Will Start On</t>
  </si>
  <si>
    <t>Payment Number</t>
  </si>
  <si>
    <t>Total Payment</t>
  </si>
  <si>
    <t>Interest Amount</t>
  </si>
  <si>
    <t>Principal Amount</t>
  </si>
  <si>
    <t>Loan Balance</t>
  </si>
  <si>
    <t>Job Title</t>
  </si>
  <si>
    <t>Annual Salary</t>
  </si>
  <si>
    <t>Employer Taxes</t>
  </si>
  <si>
    <t>Benefits</t>
  </si>
  <si>
    <t>Month Started</t>
  </si>
  <si>
    <t>Month Ending</t>
  </si>
  <si>
    <t># of this Particular Employee</t>
  </si>
  <si>
    <t>Total Salaries</t>
  </si>
  <si>
    <t>Startup Sources and Uses</t>
  </si>
  <si>
    <t>Useful Life</t>
  </si>
  <si>
    <t>Required Starting Cash Balance</t>
  </si>
  <si>
    <t>How much inventory will you start with?</t>
  </si>
  <si>
    <t>Other One Time Startup Costs</t>
  </si>
  <si>
    <t>Total Startup Costs</t>
  </si>
  <si>
    <t>Sources of Funding</t>
  </si>
  <si>
    <t>Personal Investment/Personal Savings</t>
  </si>
  <si>
    <t>Outside Investment</t>
  </si>
  <si>
    <t>Loans</t>
  </si>
  <si>
    <t>Uses of Funding</t>
  </si>
  <si>
    <t>Starting Inventory</t>
  </si>
  <si>
    <t>Pro Forma Income Statement</t>
  </si>
  <si>
    <t>Year 1</t>
  </si>
  <si>
    <t>Sales:</t>
  </si>
  <si>
    <t>Total Sales</t>
  </si>
  <si>
    <t>Material Cost</t>
  </si>
  <si>
    <t>Labor Cost</t>
  </si>
  <si>
    <t>Cost of Goods Sold</t>
  </si>
  <si>
    <t>Gross Margin</t>
  </si>
  <si>
    <t>Percent</t>
  </si>
  <si>
    <t>Salaries</t>
  </si>
  <si>
    <t>Loan Interest Expense</t>
  </si>
  <si>
    <t>Miscellaneous Expense</t>
  </si>
  <si>
    <t>Depreciation Expense</t>
  </si>
  <si>
    <t>Total Operating Expenses</t>
  </si>
  <si>
    <t>Net Profit</t>
  </si>
  <si>
    <t>Income Tax</t>
  </si>
  <si>
    <t>Net Income</t>
  </si>
  <si>
    <t>gym@projectionhub.com</t>
  </si>
  <si>
    <t>Example</t>
  </si>
  <si>
    <t>Example, AL United States</t>
  </si>
  <si>
    <t>Year 2</t>
  </si>
  <si>
    <t>Year 3</t>
  </si>
  <si>
    <t>Cash Flow Statement</t>
  </si>
  <si>
    <t>Cash Balance</t>
  </si>
  <si>
    <t>Cash Receipts</t>
  </si>
  <si>
    <t>Investment</t>
  </si>
  <si>
    <t>Total Cash Receipts</t>
  </si>
  <si>
    <t>Cash Disbursements</t>
  </si>
  <si>
    <t>Material Costs</t>
  </si>
  <si>
    <t>Labor Costs</t>
  </si>
  <si>
    <t>Loan Principal Expense</t>
  </si>
  <si>
    <t>Capital Purchases</t>
  </si>
  <si>
    <t>Miscellaneous</t>
  </si>
  <si>
    <t>Change in Inventory</t>
  </si>
  <si>
    <t>Total Cash Disbursements</t>
  </si>
  <si>
    <t>Net Cash Flow</t>
  </si>
  <si>
    <t>Cumulative Cash Flow</t>
  </si>
  <si>
    <t>Balance Sheet</t>
  </si>
  <si>
    <t>Months</t>
  </si>
  <si>
    <t>Assets:</t>
  </si>
  <si>
    <t>Current Assets:</t>
  </si>
  <si>
    <t>Cash</t>
  </si>
  <si>
    <t>Inventory</t>
  </si>
  <si>
    <t>Total Current Assets</t>
  </si>
  <si>
    <t>Fixed Assets:</t>
  </si>
  <si>
    <t>Accumulated Depreciation</t>
  </si>
  <si>
    <t>Total Fixed Assets Net</t>
  </si>
  <si>
    <t>Total Assets</t>
  </si>
  <si>
    <t>Liabilities and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</si>
  <si>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</si>
  <si>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</si>
  <si>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</si>
  <si>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</si>
  <si>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</si>
  <si>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</si>
  <si>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</si>
  <si>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</si>
  <si>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Additional Equity Injections</t>
  </si>
  <si>
    <t>Retained Earnings</t>
  </si>
  <si>
    <t>Total Equity</t>
  </si>
  <si>
    <t>Total Liabilities and Equity</t>
  </si>
  <si>
    <t>Sales</t>
  </si>
  <si>
    <t>Investor #1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</si>
  <si>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</si>
  <si>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</si>
  <si>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</si>
  <si>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</si>
  <si>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</si>
  <si>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</si>
  <si>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</si>
  <si>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</si>
  <si>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</si>
  <si>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</si>
  <si>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</si>
  <si>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</si>
  <si>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</si>
  <si>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</si>
  <si>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</si>
  <si>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</si>
  <si>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</si>
  <si>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</si>
  <si>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</si>
  <si>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</si>
  <si>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</si>
  <si>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</si>
  <si>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</si>
  <si>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</si>
  <si>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</si>
  <si>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</si>
  <si>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</si>
  <si>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</si>
  <si>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</si>
  <si>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</si>
  <si>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</si>
  <si>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</si>
  <si>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</si>
  <si>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</si>
  <si>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</si>
  <si>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</si>
  <si>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Organic website visitors</t>
  </si>
  <si>
    <t>Growth Rate %</t>
  </si>
  <si>
    <t>Paid Ad Budget</t>
  </si>
  <si>
    <t>Cost per click</t>
  </si>
  <si>
    <t>Website Visitors from Paid Advertising</t>
  </si>
  <si>
    <t>Total Website Visitors</t>
  </si>
  <si>
    <t>Total Revenue</t>
  </si>
  <si>
    <t>Organic Word of Mouth website visitors</t>
  </si>
  <si>
    <t>Conversion Rate of Yoga Visitors to Active Customers</t>
  </si>
  <si>
    <t>Active Yoga Customers</t>
  </si>
  <si>
    <t>% Retention of Active Yoga Customers</t>
  </si>
  <si>
    <t>Average price per yoga class</t>
  </si>
  <si>
    <t>Workshops sold per active yoga customer</t>
  </si>
  <si>
    <t>Average price per workshop</t>
  </si>
  <si>
    <t>Private Instruction sold per active yoga customer</t>
  </si>
  <si>
    <t>Average price per private instruction class</t>
  </si>
  <si>
    <t>Conversion rate of active yoga customers to members</t>
  </si>
  <si>
    <t>Current Members</t>
  </si>
  <si>
    <t>Average price per membership</t>
  </si>
  <si>
    <t>Total Yoga Revenue</t>
  </si>
  <si>
    <t>Conversion Rate of Website Visitors to Yoga Studio Visit</t>
  </si>
  <si>
    <t>Walk in Yoga Studio Visitors</t>
  </si>
  <si>
    <t>New Yoga Studio Visitors</t>
  </si>
  <si>
    <t>Average price per hour for massage</t>
  </si>
  <si>
    <t># of hours available per day for massage</t>
  </si>
  <si>
    <t># of days available per month</t>
  </si>
  <si>
    <t>Total hours available per month</t>
  </si>
  <si>
    <t>% occupancy</t>
  </si>
  <si>
    <t>Total Massage Revenue</t>
  </si>
  <si>
    <t>Monthly yoga classes sold per active yoga customer</t>
  </si>
  <si>
    <t># of Massage Rooms Available</t>
  </si>
  <si>
    <t># of Massage Rooms Rented</t>
  </si>
  <si>
    <t>Monthly Rent Price</t>
  </si>
  <si>
    <t>Massage Rooms Rental Revenue</t>
  </si>
  <si>
    <t>Cost of Goods Sold for Retail Products</t>
  </si>
  <si>
    <t>Retail Cost of Goods Sold</t>
  </si>
  <si>
    <t># of classes offered</t>
  </si>
  <si>
    <t>Instructor cost per class</t>
  </si>
  <si>
    <t>Instructor costs</t>
  </si>
  <si>
    <t># of hours open per month</t>
  </si>
  <si>
    <t>Receptionist hourly cost</t>
  </si>
  <si>
    <t>Receptionist cost</t>
  </si>
  <si>
    <t>Retail Product Sales per Active Yoga Customer</t>
  </si>
  <si>
    <t>Retail Product Sales</t>
  </si>
  <si>
    <t>Salt Room Revenue</t>
  </si>
  <si>
    <t>Cost of goods sold for salt room</t>
  </si>
  <si>
    <t>Average price per salt room session</t>
  </si>
  <si>
    <t># of Salt Room Sessions per Active Yoga Customer</t>
  </si>
  <si>
    <t>Massage Therapy</t>
  </si>
  <si>
    <t>Salt Room</t>
  </si>
  <si>
    <t>Retail Products</t>
  </si>
  <si>
    <t>Yoga</t>
  </si>
  <si>
    <t>Tea</t>
  </si>
  <si>
    <t>Mindbody Software</t>
  </si>
  <si>
    <t>Mindbody Transacation Fees</t>
  </si>
  <si>
    <t>Paper Goods</t>
  </si>
  <si>
    <t>Wifi</t>
  </si>
  <si>
    <t>Towel Service</t>
  </si>
  <si>
    <t>Water</t>
  </si>
  <si>
    <t xml:space="preserve">Category </t>
  </si>
  <si>
    <t>Start up Cost</t>
  </si>
  <si>
    <t>Advertising - Web</t>
  </si>
  <si>
    <t>Advertising - Other</t>
  </si>
  <si>
    <t>Advertising - Print</t>
  </si>
  <si>
    <t>Advertising - Signage</t>
  </si>
  <si>
    <t>Advertsing - Signage</t>
  </si>
  <si>
    <t>Professional Service</t>
  </si>
  <si>
    <t>Rent/Lease</t>
  </si>
  <si>
    <t>Retail</t>
  </si>
  <si>
    <t>Taxes</t>
  </si>
  <si>
    <t>Various Equipment</t>
  </si>
  <si>
    <t>Build Out</t>
  </si>
  <si>
    <t>Leasehold Improvements</t>
  </si>
  <si>
    <t>Legal/Professional Services</t>
  </si>
  <si>
    <t>Other Startups Costs</t>
  </si>
  <si>
    <t>Placeholder</t>
  </si>
  <si>
    <t xml:space="preserve">Equipment </t>
  </si>
  <si>
    <t>This template is brought to you by ProjectionHub - a web application that helps entrepreneurs create</t>
  </si>
  <si>
    <t>financial projections for business plans, investors and lenders.</t>
  </si>
  <si>
    <t>Example Yoga Financial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</si>
</sst>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\$#,##0.00_-;[Red]\(\$#,##0.00\)"/>
    <numFmt numFmtId="165" formatCode="\$#,##0_-;[Red]\(\$#,##0\)"/>
    <numFmt numFmtId="166" formatCode="_(&quot;$&quot;* #,##0_);_(&quot;$&quot;* \(#,##0\);_(&quot;$&quot;* &quot;-&quot;??_);_(@_)"/>
    <numFmt numFmtId="167" formatCode="&quot;$&quot;#,##0"/>
  </numFmts>
  <fonts count="12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b/>
      <sz val="10"/>
      <name val="Arial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0" fontId="1" fillId="0" borderId="0" xfId="0" applyNumberFormat="1" applyFont="1"/>
    <xf numFmtId="165" fontId="0" fillId="0" borderId="4" xfId="0" applyNumberFormat="1" applyBorder="1"/>
    <xf numFmtId="0" fontId="0" fillId="0" borderId="4" xfId="0" applyBorder="1"/>
    <xf numFmtId="165" fontId="0" fillId="0" borderId="5" xfId="0" applyNumberFormat="1" applyBorder="1"/>
    <xf numFmtId="165" fontId="1" fillId="0" borderId="6" xfId="0" applyNumberFormat="1" applyFont="1" applyBorder="1"/>
    <xf numFmtId="165" fontId="0" fillId="0" borderId="1" xfId="0" applyNumberFormat="1" applyBorder="1"/>
    <xf numFmtId="0" fontId="2" fillId="0" borderId="0" xfId="0" applyFont="1"/>
    <xf numFmtId="0" fontId="0" fillId="2" borderId="0" xfId="0" applyFill="1"/>
    <xf numFmtId="1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" fontId="0" fillId="0" borderId="0" xfId="0" applyNumberFormat="1"/>
    <xf numFmtId="9" fontId="0" fillId="3" borderId="0" xfId="0" applyNumberFormat="1" applyFill="1"/>
    <xf numFmtId="166" fontId="0" fillId="3" borderId="0" xfId="1" applyNumberFormat="1" applyFont="1" applyFill="1"/>
    <xf numFmtId="44" fontId="0" fillId="0" borderId="0" xfId="1" applyFont="1"/>
    <xf numFmtId="44" fontId="0" fillId="3" borderId="0" xfId="1" applyFont="1" applyFill="1"/>
    <xf numFmtId="10" fontId="0" fillId="0" borderId="0" xfId="2" applyNumberFormat="1" applyFont="1"/>
    <xf numFmtId="2" fontId="0" fillId="0" borderId="0" xfId="0" applyNumberFormat="1"/>
    <xf numFmtId="9" fontId="0" fillId="0" borderId="0" xfId="2" applyFont="1"/>
    <xf numFmtId="44" fontId="0" fillId="0" borderId="0" xfId="0" applyNumberFormat="1"/>
    <xf numFmtId="9" fontId="0" fillId="0" borderId="0" xfId="0" applyNumberFormat="1" applyFill="1"/>
    <xf numFmtId="2" fontId="0" fillId="3" borderId="0" xfId="0" applyNumberFormat="1" applyFill="1"/>
    <xf numFmtId="2" fontId="0" fillId="0" borderId="0" xfId="0" applyNumberFormat="1" applyFill="1"/>
    <xf numFmtId="9" fontId="0" fillId="3" borderId="0" xfId="2" applyFont="1" applyFill="1"/>
    <xf numFmtId="1" fontId="0" fillId="3" borderId="0" xfId="0" applyNumberFormat="1" applyFill="1"/>
    <xf numFmtId="0" fontId="0" fillId="0" borderId="0" xfId="0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" fontId="0" fillId="0" borderId="0" xfId="0" applyNumberFormat="1" applyFill="1"/>
    <xf numFmtId="0" fontId="0" fillId="0" borderId="0" xfId="0" applyFont="1" applyFill="1"/>
    <xf numFmtId="166" fontId="5" fillId="0" borderId="0" xfId="1" applyNumberFormat="1" applyFont="1" applyFill="1"/>
    <xf numFmtId="44" fontId="0" fillId="0" borderId="0" xfId="1" applyFont="1" applyFill="1"/>
    <xf numFmtId="9" fontId="0" fillId="0" borderId="0" xfId="2" applyFont="1" applyFill="1"/>
    <xf numFmtId="2" fontId="0" fillId="3" borderId="0" xfId="1" applyNumberFormat="1" applyFont="1" applyFill="1"/>
    <xf numFmtId="2" fontId="0" fillId="0" borderId="0" xfId="1" applyNumberFormat="1" applyFont="1"/>
    <xf numFmtId="9" fontId="0" fillId="3" borderId="0" xfId="1" applyNumberFormat="1" applyFont="1" applyFill="1"/>
    <xf numFmtId="6" fontId="0" fillId="3" borderId="0" xfId="1" applyNumberFormat="1" applyFont="1" applyFill="1"/>
    <xf numFmtId="0" fontId="6" fillId="0" borderId="0" xfId="0" applyFont="1" applyAlignment="1"/>
    <xf numFmtId="44" fontId="6" fillId="0" borderId="0" xfId="0" applyNumberFormat="1" applyFont="1" applyAlignment="1"/>
    <xf numFmtId="0" fontId="0" fillId="0" borderId="0" xfId="0" applyFont="1" applyAlignment="1"/>
    <xf numFmtId="167" fontId="6" fillId="0" borderId="0" xfId="0" applyNumberFormat="1" applyFont="1" applyAlignment="1"/>
    <xf numFmtId="3" fontId="6" fillId="0" borderId="0" xfId="0" applyNumberFormat="1" applyFont="1" applyAlignment="1"/>
    <xf numFmtId="44" fontId="7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10" fillId="4" borderId="0" xfId="0" applyFont="1" applyFill="1" applyAlignment="1"/>
    <xf numFmtId="0" fontId="1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IncomeStatement_Year1!$B$11:$M$11</c:f>
              <c:numCache>
                <c:formatCode>\$#,##0_-;[Red]\(\$#,##0\)</c:formatCode>
                <c:ptCount val="12"/>
                <c:pt idx="0">
                  <c:v>776.92499999999995</c:v>
                </c:pt>
                <c:pt idx="1">
                  <c:v>1108.9129896175409</c:v>
                </c:pt>
                <c:pt idx="2">
                  <c:v>1453.0410095946863</c:v>
                </c:pt>
                <c:pt idx="3">
                  <c:v>1820.4094454061576</c:v>
                </c:pt>
                <c:pt idx="4">
                  <c:v>2222.2501052688344</c:v>
                </c:pt>
                <c:pt idx="5">
                  <c:v>2670.4401792345429</c:v>
                </c:pt>
                <c:pt idx="6">
                  <c:v>3655.6872038407</c:v>
                </c:pt>
                <c:pt idx="7">
                  <c:v>4177.0253493531627</c:v>
                </c:pt>
                <c:pt idx="8">
                  <c:v>4738.8406027582996</c:v>
                </c:pt>
                <c:pt idx="9">
                  <c:v>5347.7859623549139</c:v>
                </c:pt>
                <c:pt idx="10">
                  <c:v>6011.1108790193493</c:v>
                </c:pt>
                <c:pt idx="11">
                  <c:v>6736.749846253907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1-4088-A369-F71B32667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65440"/>
        <c:axId val="91592192"/>
      </c:barChart>
      <c:catAx>
        <c:axId val="915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592192"/>
        <c:crosses val="autoZero"/>
        <c:auto val="1"/>
        <c:lblAlgn val="ctr"/>
        <c:lblOffset val="100"/>
        <c:noMultiLvlLbl val="0"/>
      </c:catAx>
      <c:valAx>
        <c:axId val="9159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\$#,##0_-;[Red]\(\$#,##0\)" sourceLinked="1"/>
        <c:majorTickMark val="out"/>
        <c:minorTickMark val="none"/>
        <c:tickLblPos val="nextTo"/>
        <c:crossAx val="91592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Projected Cash Flow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CashFlowStatement_Year2!$B$5:$M$5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CashFlowStatement_Year2!$B$43:$M$43</c:f>
              <c:numCache>
                <c:formatCode>\$#,##0_-;[Red]\(\$#,##0\)</c:formatCode>
                <c:ptCount val="12"/>
                <c:pt idx="0">
                  <c:v>-4488.6374176652143</c:v>
                </c:pt>
                <c:pt idx="1">
                  <c:v>-3569.7326377748541</c:v>
                </c:pt>
                <c:pt idx="2">
                  <c:v>699.13111296688294</c:v>
                </c:pt>
                <c:pt idx="3">
                  <c:v>1831.2594539468009</c:v>
                </c:pt>
                <c:pt idx="4">
                  <c:v>3091.4992422082505</c:v>
                </c:pt>
                <c:pt idx="5">
                  <c:v>4496.4421519118368</c:v>
                </c:pt>
                <c:pt idx="6">
                  <c:v>6064.6532120322427</c:v>
                </c:pt>
                <c:pt idx="7">
                  <c:v>7816.9276266886991</c:v>
                </c:pt>
                <c:pt idx="8">
                  <c:v>9776.5796298516489</c:v>
                </c:pt>
                <c:pt idx="9">
                  <c:v>11969.767611381754</c:v>
                </c:pt>
                <c:pt idx="10">
                  <c:v>14425.860302170153</c:v>
                </c:pt>
                <c:pt idx="11">
                  <c:v>17177.849431359122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D90-817C-5ABB7AB9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09824"/>
        <c:axId val="117716096"/>
      </c:barChart>
      <c:catAx>
        <c:axId val="1177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16096"/>
        <c:crosses val="autoZero"/>
        <c:auto val="1"/>
        <c:lblAlgn val="ctr"/>
        <c:lblOffset val="100"/>
        <c:noMultiLvlLbl val="0"/>
      </c:catAx>
      <c:valAx>
        <c:axId val="117716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nextTo"/>
        <c:crossAx val="11771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Projected Cash Flow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CashFlowStatement_Year3!$B$5:$M$5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CashFlowStatement_Year3!$B$43:$M$43</c:f>
              <c:numCache>
                <c:formatCode>\$#,##0_-;[Red]\(\$#,##0\)</c:formatCode>
                <c:ptCount val="12"/>
                <c:pt idx="0">
                  <c:v>16624.277703290238</c:v>
                </c:pt>
                <c:pt idx="1">
                  <c:v>20083.912671906262</c:v>
                </c:pt>
                <c:pt idx="2">
                  <c:v>27215.115230547126</c:v>
                </c:pt>
                <c:pt idx="3">
                  <c:v>31570.657096081635</c:v>
                </c:pt>
                <c:pt idx="4">
                  <c:v>36459.938221054465</c:v>
                </c:pt>
                <c:pt idx="5">
                  <c:v>41949.839178963157</c:v>
                </c:pt>
                <c:pt idx="6">
                  <c:v>48115.684161779325</c:v>
                </c:pt>
                <c:pt idx="7">
                  <c:v>55042.329228409275</c:v>
                </c:pt>
                <c:pt idx="8">
                  <c:v>62825.392401604928</c:v>
                </c:pt>
                <c:pt idx="9">
                  <c:v>71572.644435967493</c:v>
                </c:pt>
                <c:pt idx="10">
                  <c:v>81405.58160772729</c:v>
                </c:pt>
                <c:pt idx="11">
                  <c:v>92461.204749620374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5EF-A1C3-493E998F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40672"/>
        <c:axId val="117742592"/>
      </c:barChart>
      <c:catAx>
        <c:axId val="117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42592"/>
        <c:crosses val="autoZero"/>
        <c:auto val="1"/>
        <c:lblAlgn val="ctr"/>
        <c:lblOffset val="100"/>
        <c:noMultiLvlLbl val="0"/>
      </c:catAx>
      <c:valAx>
        <c:axId val="1177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nextTo"/>
        <c:crossAx val="117742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IncomeStatement_Year2!$B$5:$M$5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IncomeStatement_Year2!$B$11:$M$11</c:f>
              <c:numCache>
                <c:formatCode>\$#,##0_-;[Red]\(\$#,##0\)</c:formatCode>
                <c:ptCount val="12"/>
                <c:pt idx="0">
                  <c:v>7533.4198191763726</c:v>
                </c:pt>
                <c:pt idx="1">
                  <c:v>8410.7276941233085</c:v>
                </c:pt>
                <c:pt idx="2">
                  <c:v>9379.2892135115853</c:v>
                </c:pt>
                <c:pt idx="3">
                  <c:v>10450.860811466922</c:v>
                </c:pt>
                <c:pt idx="4">
                  <c:v>11638.486086538929</c:v>
                </c:pt>
                <c:pt idx="5">
                  <c:v>12956.658780904552</c:v>
                </c:pt>
                <c:pt idx="6">
                  <c:v>14421.504363445409</c:v>
                </c:pt>
                <c:pt idx="7">
                  <c:v>16050.982559940123</c:v>
                </c:pt>
                <c:pt idx="8">
                  <c:v>17865.113450694</c:v>
                </c:pt>
                <c:pt idx="9">
                  <c:v>19886.230068019147</c:v>
                </c:pt>
                <c:pt idx="10">
                  <c:v>22139.260777346124</c:v>
                </c:pt>
                <c:pt idx="11">
                  <c:v>24652.045121204461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E-4100-9378-05D4EB724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2272"/>
        <c:axId val="92024192"/>
      </c:barChart>
      <c:catAx>
        <c:axId val="920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24192"/>
        <c:crosses val="autoZero"/>
        <c:auto val="1"/>
        <c:lblAlgn val="ctr"/>
        <c:lblOffset val="100"/>
        <c:noMultiLvlLbl val="0"/>
      </c:catAx>
      <c:valAx>
        <c:axId val="92024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\$#,##0_-;[Red]\(\$#,##0\)" sourceLinked="1"/>
        <c:majorTickMark val="out"/>
        <c:minorTickMark val="none"/>
        <c:tickLblPos val="nextTo"/>
        <c:crossAx val="92024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IncomeStatement_Year3!$B$5:$M$5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IncomeStatement_Year3!$B$11:$M$11</c:f>
              <c:numCache>
                <c:formatCode>\$#,##0_-;[Red]\(\$#,##0\)</c:formatCode>
                <c:ptCount val="12"/>
                <c:pt idx="0">
                  <c:v>27455.687250277864</c:v>
                </c:pt>
                <c:pt idx="1">
                  <c:v>30584.951566331572</c:v>
                </c:pt>
                <c:pt idx="2">
                  <c:v>34078.705764913393</c:v>
                </c:pt>
                <c:pt idx="3">
                  <c:v>37980.417099105209</c:v>
                </c:pt>
                <c:pt idx="4">
                  <c:v>42338.708397995477</c:v>
                </c:pt>
                <c:pt idx="5">
                  <c:v>47207.981174806519</c:v>
                </c:pt>
                <c:pt idx="6">
                  <c:v>52649.114060847423</c:v>
                </c:pt>
                <c:pt idx="7">
                  <c:v>58730.24581518551</c:v>
                </c:pt>
                <c:pt idx="8">
                  <c:v>65527.653300233455</c:v>
                </c:pt>
                <c:pt idx="9">
                  <c:v>73126.736096226537</c:v>
                </c:pt>
                <c:pt idx="10">
                  <c:v>81623.12087072205</c:v>
                </c:pt>
                <c:pt idx="11">
                  <c:v>91123.900242974269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D-42B0-A445-760E0607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2384"/>
        <c:axId val="92050944"/>
      </c:barChart>
      <c:catAx>
        <c:axId val="92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50944"/>
        <c:crosses val="autoZero"/>
        <c:auto val="1"/>
        <c:lblAlgn val="ctr"/>
        <c:lblOffset val="100"/>
        <c:noMultiLvlLbl val="0"/>
      </c:catAx>
      <c:valAx>
        <c:axId val="9205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\$#,##0_-;[Red]\(\$#,##0\)" sourceLinked="1"/>
        <c:majorTickMark val="out"/>
        <c:minorTickMark val="none"/>
        <c:tickLblPos val="nextTo"/>
        <c:crossAx val="92050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AnnualSummary!$A$7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AnnualSummary!$B$7:$D$7</c:f>
              <c:numCache>
                <c:formatCode>\$#,##0_-;[Red]\(\$#,##0\)</c:formatCode>
                <c:ptCount val="3"/>
                <c:pt idx="0">
                  <c:v>40719.178572702091</c:v>
                </c:pt>
                <c:pt idx="1">
                  <c:v>175384.57874637091</c:v>
                </c:pt>
                <c:pt idx="2">
                  <c:v>642427.22163961921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A-4DC4-A877-80249E3B1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2960"/>
        <c:axId val="91964160"/>
      </c:barChart>
      <c:catAx>
        <c:axId val="920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64160"/>
        <c:crosses val="autoZero"/>
        <c:auto val="1"/>
        <c:lblAlgn val="ctr"/>
        <c:lblOffset val="100"/>
        <c:noMultiLvlLbl val="0"/>
      </c:catAx>
      <c:valAx>
        <c:axId val="9196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\$#,##0_-;[Red]\(\$#,##0\)" sourceLinked="1"/>
        <c:majorTickMark val="out"/>
        <c:minorTickMark val="none"/>
        <c:tickLblPos val="nextTo"/>
        <c:crossAx val="91964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Sales, Gross Margin, Net Profit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AnnualSummary!$A$7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AnnualSummary!$B$7:$D$7</c:f>
              <c:numCache>
                <c:formatCode>\$#,##0_-;[Red]\(\$#,##0\)</c:formatCode>
                <c:ptCount val="3"/>
                <c:pt idx="0">
                  <c:v>40719.178572702091</c:v>
                </c:pt>
                <c:pt idx="1">
                  <c:v>175384.57874637091</c:v>
                </c:pt>
                <c:pt idx="2">
                  <c:v>642427.22163961921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3-4D24-935F-FAE1CE97D9CB}"/>
            </c:ext>
          </c:extLst>
        </c:ser>
        <c:ser>
          <c:idx val="1"/>
          <c:order val="1"/>
          <c:tx>
            <c:strRef>
              <c:f>AnnualSummary!$A$13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AnnualSummary!$B$13:$D$13</c:f>
              <c:numCache>
                <c:formatCode>\$#,##0_-;[Red]\(\$#,##0\)</c:formatCode>
                <c:ptCount val="3"/>
                <c:pt idx="0">
                  <c:v>9313.5968592474201</c:v>
                </c:pt>
                <c:pt idx="1">
                  <c:v>143236.19312191269</c:v>
                </c:pt>
                <c:pt idx="2">
                  <c:v>609480.92306330404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3-4D24-935F-FAE1CE97D9CB}"/>
            </c:ext>
          </c:extLst>
        </c:ser>
        <c:ser>
          <c:idx val="2"/>
          <c:order val="2"/>
          <c:tx>
            <c:strRef>
              <c:f>AnnualSummary!$A$37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AnnualSummary!$B$37:$D$37</c:f>
              <c:numCache>
                <c:formatCode>\$#,##0_-;[Red]\(\$#,##0\)</c:formatCode>
                <c:ptCount val="3"/>
                <c:pt idx="0">
                  <c:v>-103774.57294604498</c:v>
                </c:pt>
                <c:pt idx="1">
                  <c:v>30148.023316620267</c:v>
                </c:pt>
                <c:pt idx="2">
                  <c:v>496392.75325801171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3-4D24-935F-FAE1CE97D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4368"/>
        <c:axId val="91996160"/>
      </c:barChart>
      <c:catAx>
        <c:axId val="919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96160"/>
        <c:crosses val="autoZero"/>
        <c:auto val="1"/>
        <c:lblAlgn val="ctr"/>
        <c:lblOffset val="100"/>
        <c:noMultiLvlLbl val="0"/>
      </c:catAx>
      <c:valAx>
        <c:axId val="91996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\$#,##0_-;[Red]\(\$#,##0\)" sourceLinked="1"/>
        <c:majorTickMark val="out"/>
        <c:minorTickMark val="none"/>
        <c:tickLblPos val="nextTo"/>
        <c:crossAx val="9199616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Sources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StartupCosts!$A$10</c:f>
              <c:strCache>
                <c:ptCount val="1"/>
                <c:pt idx="0">
                  <c:v>Sources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AA0E-4D45-8262-668ECCBB5A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StartupCosts!$A$11:$A$13</c:f>
              <c:strCache>
                <c:ptCount val="3"/>
                <c:pt idx="0">
                  <c:v>Personal Investment/Personal Savings</c:v>
                </c:pt>
                <c:pt idx="1">
                  <c:v>Outside Investment</c:v>
                </c:pt>
                <c:pt idx="2">
                  <c:v>Loans</c:v>
                </c:pt>
              </c:strCache>
            </c:strRef>
          </c:cat>
          <c:val>
            <c:numRef>
              <c:f>StartupCosts!$B$11:$B$13</c:f>
              <c:numCache>
                <c:formatCode>\$#,##0.00_-;[Red]\(\$#,##0.00\)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E-4D45-8262-668ECCBB5A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Uses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StartupCosts!$A$16</c:f>
              <c:strCache>
                <c:ptCount val="1"/>
                <c:pt idx="0">
                  <c:v>Uses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DB8E-44DD-838B-AC0A5F39CDE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StartupCosts!$A$17:$A$21</c:f>
              <c:strCache>
                <c:ptCount val="5"/>
                <c:pt idx="0">
                  <c:v>Equipment</c:v>
                </c:pt>
                <c:pt idx="1">
                  <c:v>Furniture</c:v>
                </c:pt>
                <c:pt idx="2">
                  <c:v>Required Starting Cash Balance</c:v>
                </c:pt>
                <c:pt idx="3">
                  <c:v>Starting Inventory</c:v>
                </c:pt>
                <c:pt idx="4">
                  <c:v>Other One Time Startup Costs</c:v>
                </c:pt>
              </c:strCache>
            </c:strRef>
          </c:cat>
          <c:val>
            <c:numRef>
              <c:f>StartupCosts!$B$17:$B$21</c:f>
              <c:numCache>
                <c:formatCode>\$#,##0.00_-;[Red]\(\$#,##0.00\)</c:formatCode>
                <c:ptCount val="5"/>
                <c:pt idx="0">
                  <c:v>8500</c:v>
                </c:pt>
                <c:pt idx="1">
                  <c:v>82000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E-44DD-838B-AC0A5F39CD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Break-even Analysis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Graphs!$A$101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Graphs!$B$100:$AK$100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Graphs!$B$101:$AK$101</c:f>
              <c:numCache>
                <c:formatCode>General</c:formatCode>
                <c:ptCount val="36"/>
                <c:pt idx="0">
                  <c:v>-32470.625952380953</c:v>
                </c:pt>
                <c:pt idx="1">
                  <c:v>-8899.3079627634106</c:v>
                </c:pt>
                <c:pt idx="2">
                  <c:v>-8572.047282786265</c:v>
                </c:pt>
                <c:pt idx="3">
                  <c:v>-8222.6737793147931</c:v>
                </c:pt>
                <c:pt idx="4">
                  <c:v>-7840.065898974457</c:v>
                </c:pt>
                <c:pt idx="5">
                  <c:v>-7412.4677090831101</c:v>
                </c:pt>
                <c:pt idx="6">
                  <c:v>-6449.3050330256137</c:v>
                </c:pt>
                <c:pt idx="7">
                  <c:v>-5951.6903730364893</c:v>
                </c:pt>
                <c:pt idx="8">
                  <c:v>-5415.399058233601</c:v>
                </c:pt>
                <c:pt idx="9">
                  <c:v>-4833.9555141522615</c:v>
                </c:pt>
                <c:pt idx="10">
                  <c:v>-4200.3054320163919</c:v>
                </c:pt>
                <c:pt idx="11">
                  <c:v>-3506.7289502776539</c:v>
                </c:pt>
                <c:pt idx="12">
                  <c:v>-25799.195699461576</c:v>
                </c:pt>
                <c:pt idx="13">
                  <c:v>-1682.9031220459287</c:v>
                </c:pt>
                <c:pt idx="14">
                  <c:v>-731.55743904965004</c:v>
                </c:pt>
                <c:pt idx="15">
                  <c:v>321.66749957848549</c:v>
                </c:pt>
                <c:pt idx="16">
                  <c:v>1489.7050054941669</c:v>
                </c:pt>
                <c:pt idx="17">
                  <c:v>2786.9275311328124</c:v>
                </c:pt>
                <c:pt idx="18">
                  <c:v>4229.3271527584529</c:v>
                </c:pt>
                <c:pt idx="19">
                  <c:v>5834.71689062733</c:v>
                </c:pt>
                <c:pt idx="20">
                  <c:v>7622.9554755885401</c:v>
                </c:pt>
                <c:pt idx="21">
                  <c:v>9616.1984824348474</c:v>
                </c:pt>
                <c:pt idx="22">
                  <c:v>11839.179100474701</c:v>
                </c:pt>
                <c:pt idx="23">
                  <c:v>14319.522205921883</c:v>
                </c:pt>
                <c:pt idx="24">
                  <c:v>-6329.7685930756852</c:v>
                </c:pt>
                <c:pt idx="25">
                  <c:v>20038.094575755571</c:v>
                </c:pt>
                <c:pt idx="26">
                  <c:v>23514.243486938121</c:v>
                </c:pt>
                <c:pt idx="27">
                  <c:v>27397.215073723379</c:v>
                </c:pt>
                <c:pt idx="28">
                  <c:v>31735.5218421926</c:v>
                </c:pt>
                <c:pt idx="29">
                  <c:v>36583.443979352407</c:v>
                </c:pt>
                <c:pt idx="30">
                  <c:v>42001.726687055678</c:v>
                </c:pt>
                <c:pt idx="31">
                  <c:v>48058.36198164057</c:v>
                </c:pt>
                <c:pt idx="32">
                  <c:v>54829.465338484973</c:v>
                </c:pt>
                <c:pt idx="33">
                  <c:v>62400.258842350704</c:v>
                </c:pt>
                <c:pt idx="34">
                  <c:v>70866.173946339579</c:v>
                </c:pt>
                <c:pt idx="35">
                  <c:v>80334.088564673642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6-4350-B055-51073B3FB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4784"/>
        <c:axId val="117773824"/>
      </c:barChart>
      <c:catAx>
        <c:axId val="9213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73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Projected Cash Flow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CashFlowStatement_Year1!$C$43:$N$43</c:f>
              <c:numCache>
                <c:formatCode>\$#,##0_-;[Red]\(\$#,##0\)</c:formatCode>
                <c:ptCount val="12"/>
                <c:pt idx="0">
                  <c:v>-14543.16</c:v>
                </c:pt>
                <c:pt idx="1">
                  <c:v>-4623.2341917233589</c:v>
                </c:pt>
                <c:pt idx="2">
                  <c:v>-4272.8710461922428</c:v>
                </c:pt>
                <c:pt idx="3">
                  <c:v>-3897.9035504843514</c:v>
                </c:pt>
                <c:pt idx="4">
                  <c:v>-3486.4947565936382</c:v>
                </c:pt>
                <c:pt idx="5">
                  <c:v>-3026.0795096478205</c:v>
                </c:pt>
                <c:pt idx="6">
                  <c:v>-2025.148381654481</c:v>
                </c:pt>
                <c:pt idx="7">
                  <c:v>-1483.7155595736394</c:v>
                </c:pt>
                <c:pt idx="8">
                  <c:v>-897.91991575099655</c:v>
                </c:pt>
                <c:pt idx="9">
                  <c:v>-260.41229804897739</c:v>
                </c:pt>
                <c:pt idx="10">
                  <c:v>436.86436018739914</c:v>
                </c:pt>
                <c:pt idx="11">
                  <c:v>1202.7812979822174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2-440E-AA22-5345B1BF2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0304"/>
        <c:axId val="117812224"/>
      </c:barChart>
      <c:catAx>
        <c:axId val="11781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812224"/>
        <c:crosses val="autoZero"/>
        <c:auto val="1"/>
        <c:lblAlgn val="ctr"/>
        <c:lblOffset val="100"/>
        <c:noMultiLvlLbl val="0"/>
      </c:catAx>
      <c:valAx>
        <c:axId val="11781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nextTo"/>
        <c:crossAx val="11781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180976</xdr:rowOff>
    </xdr:from>
    <xdr:to>
      <xdr:col>11</xdr:col>
      <xdr:colOff>19050</xdr:colOff>
      <xdr:row>14</xdr:row>
      <xdr:rowOff>180975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524001"/>
          <a:ext cx="4886325" cy="152399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14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95250</xdr:colOff>
      <xdr:row>14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95250</xdr:colOff>
      <xdr:row>14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95250</xdr:colOff>
      <xdr:row>29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95250</xdr:colOff>
      <xdr:row>29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95250</xdr:colOff>
      <xdr:row>44</xdr:row>
      <xdr:rowOff>95250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95250</xdr:colOff>
      <xdr:row>44</xdr:row>
      <xdr:rowOff>95250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95250</xdr:colOff>
      <xdr:row>59</xdr:row>
      <xdr:rowOff>95250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95250</xdr:colOff>
      <xdr:row>74</xdr:row>
      <xdr:rowOff>95250</xdr:rowOff>
    </xdr:to>
    <xdr:graphicFrame macro="">
      <xdr:nvGraphicFramePr>
        <xdr:cNvPr id="92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95250</xdr:colOff>
      <xdr:row>74</xdr:row>
      <xdr:rowOff>95250</xdr:rowOff>
    </xdr:to>
    <xdr:graphicFrame macro="">
      <xdr:nvGraphicFramePr>
        <xdr:cNvPr id="102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21</xdr:col>
      <xdr:colOff>95250</xdr:colOff>
      <xdr:row>74</xdr:row>
      <xdr:rowOff>95250</xdr:rowOff>
    </xdr:to>
    <xdr:graphicFrame macro="">
      <xdr:nvGraphicFramePr>
        <xdr:cNvPr id="112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73A2"/>
      </a:accent1>
      <a:accent2>
        <a:srgbClr val="ED3E11"/>
      </a:accent2>
      <a:accent3>
        <a:srgbClr val="ACC313"/>
      </a:accent3>
      <a:accent4>
        <a:srgbClr val="134561"/>
      </a:accent4>
      <a:accent5>
        <a:srgbClr val="79ABC7"/>
      </a:accent5>
      <a:accent6>
        <a:srgbClr val="D2E3E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C18" sqref="C18"/>
    </sheetView>
  </sheetViews>
  <sheetFormatPr defaultRowHeight="15" x14ac:dyDescent="0.25"/>
  <sheetData>
    <row r="2" spans="1:14" ht="21" customHeight="1" x14ac:dyDescent="0.35">
      <c r="A2" s="54" t="s">
        <v>244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" customHeight="1" x14ac:dyDescent="0.35">
      <c r="D3" s="56" t="s">
        <v>245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customHeight="1" x14ac:dyDescent="0.25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8.75" customHeight="1" x14ac:dyDescent="0.3">
      <c r="A5" s="57" t="str">
        <f>HYPERLINK("https://projectionhub.com/","Try ProjectionHub for Free at www.projectionhub.com ")</f>
        <v xml:space="preserve">Try ProjectionHub for Free at www.projectionhub.com 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25"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25"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x14ac:dyDescent="0.25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x14ac:dyDescent="0.25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x14ac:dyDescent="0.25"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x14ac:dyDescent="0.25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x14ac:dyDescent="0.25"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x14ac:dyDescent="0.2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x14ac:dyDescent="0.25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x14ac:dyDescent="0.25"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</sheetData>
  <mergeCells count="1">
    <mergeCell ref="A5:N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4" workbookViewId="0">
      <selection activeCell="F40" sqref="F40"/>
    </sheetView>
  </sheetViews>
  <sheetFormatPr defaultRowHeight="15" x14ac:dyDescent="0.25"/>
  <cols>
    <col min="1" max="1" width="40" bestFit="1" customWidth="1"/>
    <col min="2" max="5" width="10.5703125" bestFit="1" customWidth="1"/>
    <col min="6" max="12" width="9.28515625" bestFit="1" customWidth="1"/>
    <col min="13" max="13" width="10.5703125" bestFit="1" customWidth="1"/>
    <col min="14" max="14" width="9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68</v>
      </c>
    </row>
    <row r="3" spans="1:14" x14ac:dyDescent="0.25">
      <c r="A3" t="s">
        <v>89</v>
      </c>
    </row>
    <row r="5" spans="1:14" x14ac:dyDescent="0.25">
      <c r="A5" t="s">
        <v>20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89</v>
      </c>
    </row>
    <row r="6" spans="1:14" x14ac:dyDescent="0.25">
      <c r="A6" s="4" t="s">
        <v>70</v>
      </c>
    </row>
    <row r="7" spans="1:14" x14ac:dyDescent="0.25">
      <c r="A7" t="s">
        <v>218</v>
      </c>
      <c r="B7" s="5">
        <f>RevenueModule!Z40</f>
        <v>21495.391946306219</v>
      </c>
      <c r="C7" s="5">
        <f>RevenueModule!AA40</f>
        <v>23943.642501738064</v>
      </c>
      <c r="D7" s="5">
        <f>RevenueModule!AB40</f>
        <v>26665.087225436746</v>
      </c>
      <c r="E7" s="5">
        <f>RevenueModule!AC40</f>
        <v>29690.828624293161</v>
      </c>
      <c r="F7" s="5">
        <f>RevenueModule!AD40</f>
        <v>33055.457728389876</v>
      </c>
      <c r="G7" s="5">
        <f>RevenueModule!AE40</f>
        <v>36797.451480944437</v>
      </c>
      <c r="H7" s="5">
        <f>RevenueModule!AF40</f>
        <v>40959.614917805477</v>
      </c>
      <c r="I7" s="5">
        <f>RevenueModule!AG40</f>
        <v>45589.573245983818</v>
      </c>
      <c r="J7" s="5">
        <f>RevenueModule!AH40</f>
        <v>50740.319509321314</v>
      </c>
      <c r="K7" s="5">
        <f>RevenueModule!AI40</f>
        <v>56470.824174172041</v>
      </c>
      <c r="L7" s="5">
        <f>RevenueModule!AJ40</f>
        <v>62846.71368642075</v>
      </c>
      <c r="M7" s="5">
        <f>RevenueModule!AK40</f>
        <v>69941.025851679922</v>
      </c>
      <c r="N7" s="6">
        <f>SUM(B7:M7)</f>
        <v>498195.93089249183</v>
      </c>
    </row>
    <row r="8" spans="1:14" x14ac:dyDescent="0.25">
      <c r="A8" t="s">
        <v>215</v>
      </c>
      <c r="B8" s="5">
        <f>RevenueModule!Z61+RevenueModule!Z67</f>
        <v>955.36813554090008</v>
      </c>
      <c r="C8" s="5">
        <f>RevenueModule!AA61+RevenueModule!AA67</f>
        <v>955.36813554090008</v>
      </c>
      <c r="D8" s="5">
        <f>RevenueModule!AB61+RevenueModule!AB67</f>
        <v>955.36813554090008</v>
      </c>
      <c r="E8" s="5">
        <f>RevenueModule!AC61+RevenueModule!AC67</f>
        <v>955.36813554090008</v>
      </c>
      <c r="F8" s="5">
        <f>RevenueModule!AD61+RevenueModule!AD67</f>
        <v>955.36813554090008</v>
      </c>
      <c r="G8" s="5">
        <f>RevenueModule!AE61+RevenueModule!AE67</f>
        <v>955.36813554090008</v>
      </c>
      <c r="H8" s="5">
        <f>RevenueModule!AF61+RevenueModule!AF67</f>
        <v>955.36813554090008</v>
      </c>
      <c r="I8" s="5">
        <f>RevenueModule!AG61+RevenueModule!AG67</f>
        <v>955.36813554090008</v>
      </c>
      <c r="J8" s="5">
        <f>RevenueModule!AH61+RevenueModule!AH67</f>
        <v>955.36813554090008</v>
      </c>
      <c r="K8" s="5">
        <f>RevenueModule!AI61+RevenueModule!AI67</f>
        <v>955.36813554090008</v>
      </c>
      <c r="L8" s="5">
        <f>RevenueModule!AJ61+RevenueModule!AJ67</f>
        <v>955.36813554090008</v>
      </c>
      <c r="M8" s="5">
        <f>RevenueModule!AK61+RevenueModule!AK67</f>
        <v>955.36813554090008</v>
      </c>
      <c r="N8" s="6">
        <f>SUM(B8:M8)</f>
        <v>11464.417626490802</v>
      </c>
    </row>
    <row r="9" spans="1:14" x14ac:dyDescent="0.25">
      <c r="A9" t="s">
        <v>216</v>
      </c>
      <c r="B9" s="5">
        <f>RevenueModule!Z80</f>
        <v>2565.3056008808908</v>
      </c>
      <c r="C9" s="5">
        <f>RevenueModule!AA80</f>
        <v>2914.9204560697008</v>
      </c>
      <c r="D9" s="5">
        <f>RevenueModule!AB80</f>
        <v>3311.4808256805809</v>
      </c>
      <c r="E9" s="5">
        <f>RevenueModule!AC80</f>
        <v>3761.3548043062628</v>
      </c>
      <c r="F9" s="5">
        <f>RevenueModule!AD80</f>
        <v>4271.7704435040596</v>
      </c>
      <c r="G9" s="5">
        <f>RevenueModule!AE80</f>
        <v>4850.9323721773935</v>
      </c>
      <c r="H9" s="5">
        <f>RevenueModule!AF80</f>
        <v>5508.1542191310009</v>
      </c>
      <c r="I9" s="5">
        <f>RevenueModule!AG80</f>
        <v>6254.0089837704818</v>
      </c>
      <c r="J9" s="5">
        <f>RevenueModule!AH80</f>
        <v>7100.4997924962072</v>
      </c>
      <c r="K9" s="5">
        <f>RevenueModule!AI80</f>
        <v>8061.2538096021653</v>
      </c>
      <c r="L9" s="5">
        <f>RevenueModule!AJ80</f>
        <v>9151.7424478379035</v>
      </c>
      <c r="M9" s="5">
        <f>RevenueModule!AK80</f>
        <v>10389.531451369832</v>
      </c>
      <c r="N9" s="6">
        <f>SUM(B9:M9)</f>
        <v>68140.955206826475</v>
      </c>
    </row>
    <row r="10" spans="1:14" x14ac:dyDescent="0.25">
      <c r="A10" t="s">
        <v>217</v>
      </c>
      <c r="B10" s="5">
        <f>RevenueModule!Z74</f>
        <v>2439.6215675498515</v>
      </c>
      <c r="C10" s="5">
        <f>RevenueModule!AA74</f>
        <v>2771.0204729829079</v>
      </c>
      <c r="D10" s="5">
        <f>RevenueModule!AB74</f>
        <v>3146.7695782551659</v>
      </c>
      <c r="E10" s="5">
        <f>RevenueModule!AC74</f>
        <v>3572.8655349648798</v>
      </c>
      <c r="F10" s="5">
        <f>RevenueModule!AD74</f>
        <v>4056.1120905606467</v>
      </c>
      <c r="G10" s="5">
        <f>RevenueModule!AE74</f>
        <v>4604.2291861437898</v>
      </c>
      <c r="H10" s="5">
        <f>RevenueModule!AF74</f>
        <v>5225.976788370047</v>
      </c>
      <c r="I10" s="5">
        <f>RevenueModule!AG74</f>
        <v>5931.2954498903155</v>
      </c>
      <c r="J10" s="5">
        <f>RevenueModule!AH74</f>
        <v>6731.4658628750358</v>
      </c>
      <c r="K10" s="5">
        <f>RevenueModule!AI74</f>
        <v>7639.2899769114283</v>
      </c>
      <c r="L10" s="5">
        <f>RevenueModule!AJ74</f>
        <v>8669.2966009225074</v>
      </c>
      <c r="M10" s="5">
        <f>RevenueModule!AK74</f>
        <v>9837.9748043836025</v>
      </c>
      <c r="N10" s="6">
        <f>SUM(B10:M10)</f>
        <v>64625.917913810175</v>
      </c>
    </row>
    <row r="11" spans="1:14" x14ac:dyDescent="0.25">
      <c r="A11" s="4" t="s">
        <v>71</v>
      </c>
      <c r="B11" s="8">
        <f t="shared" ref="B11:M11" si="0">SUM(B7:B10)</f>
        <v>27455.687250277864</v>
      </c>
      <c r="C11" s="8">
        <f t="shared" si="0"/>
        <v>30584.951566331572</v>
      </c>
      <c r="D11" s="8">
        <f t="shared" si="0"/>
        <v>34078.705764913393</v>
      </c>
      <c r="E11" s="8">
        <f t="shared" si="0"/>
        <v>37980.417099105209</v>
      </c>
      <c r="F11" s="8">
        <f t="shared" si="0"/>
        <v>42338.708397995477</v>
      </c>
      <c r="G11" s="8">
        <f t="shared" si="0"/>
        <v>47207.981174806519</v>
      </c>
      <c r="H11" s="8">
        <f t="shared" si="0"/>
        <v>52649.114060847423</v>
      </c>
      <c r="I11" s="8">
        <f t="shared" si="0"/>
        <v>58730.24581518551</v>
      </c>
      <c r="J11" s="8">
        <f t="shared" si="0"/>
        <v>65527.653300233455</v>
      </c>
      <c r="K11" s="8">
        <f t="shared" si="0"/>
        <v>73126.736096226537</v>
      </c>
      <c r="L11" s="8">
        <f t="shared" si="0"/>
        <v>81623.12087072205</v>
      </c>
      <c r="M11" s="8">
        <f t="shared" si="0"/>
        <v>91123.900242974269</v>
      </c>
      <c r="N11" s="8">
        <f>SUM(B11:M11)</f>
        <v>642427.22163961921</v>
      </c>
    </row>
    <row r="13" spans="1:14" x14ac:dyDescent="0.25">
      <c r="A13" t="s">
        <v>72</v>
      </c>
      <c r="B13" s="5">
        <f>DATA!Z57</f>
        <v>317.43366213297861</v>
      </c>
      <c r="C13" s="5">
        <f>DATA!AA57</f>
        <v>320.60799875430843</v>
      </c>
      <c r="D13" s="5">
        <f>DATA!AB57</f>
        <v>323.81407874185152</v>
      </c>
      <c r="E13" s="5">
        <f>DATA!AC57</f>
        <v>327.05221952927002</v>
      </c>
      <c r="F13" s="5">
        <f>DATA!AD57</f>
        <v>330.32274172456272</v>
      </c>
      <c r="G13" s="5">
        <f>DATA!AE57</f>
        <v>333.62596914180835</v>
      </c>
      <c r="H13" s="5">
        <f>DATA!AF57</f>
        <v>336.96222883322645</v>
      </c>
      <c r="I13" s="5">
        <f>DATA!AG57</f>
        <v>340.33185112155871</v>
      </c>
      <c r="J13" s="5">
        <f>DATA!AH57</f>
        <v>343.73516963277433</v>
      </c>
      <c r="K13" s="5">
        <f>DATA!AI57</f>
        <v>347.1725213291021</v>
      </c>
      <c r="L13" s="5">
        <f>DATA!AJ57</f>
        <v>350.64424654239315</v>
      </c>
      <c r="M13" s="5">
        <f>DATA!AK57</f>
        <v>354.15068900781711</v>
      </c>
      <c r="N13" s="6">
        <f>SUM(B13:M13)</f>
        <v>4025.8533764916519</v>
      </c>
    </row>
    <row r="14" spans="1:14" x14ac:dyDescent="0.25">
      <c r="A14" t="s">
        <v>73</v>
      </c>
      <c r="B14" s="5">
        <f>DATA!Z58</f>
        <v>2396.8106011246077</v>
      </c>
      <c r="C14" s="5">
        <f>DATA!AA58</f>
        <v>2399.2074117257321</v>
      </c>
      <c r="D14" s="5">
        <f>DATA!AB58</f>
        <v>2401.6066191374575</v>
      </c>
      <c r="E14" s="5">
        <f>DATA!AC58</f>
        <v>2404.0082257565946</v>
      </c>
      <c r="F14" s="5">
        <f>DATA!AD58</f>
        <v>2406.4122339823512</v>
      </c>
      <c r="G14" s="5">
        <f>DATA!AE58</f>
        <v>2408.818646216333</v>
      </c>
      <c r="H14" s="5">
        <f>DATA!AF58</f>
        <v>2411.2274648625489</v>
      </c>
      <c r="I14" s="5">
        <f>DATA!AG58</f>
        <v>2413.6386923274108</v>
      </c>
      <c r="J14" s="5">
        <f>DATA!AH58</f>
        <v>2416.0523310197382</v>
      </c>
      <c r="K14" s="5">
        <f>DATA!AI58</f>
        <v>2418.4683833507579</v>
      </c>
      <c r="L14" s="5">
        <f>DATA!AJ58</f>
        <v>2420.8868517341084</v>
      </c>
      <c r="M14" s="5">
        <f>DATA!AK58</f>
        <v>2423.3077385858419</v>
      </c>
      <c r="N14" s="6">
        <f>SUM(B14:M14)</f>
        <v>28920.445199823484</v>
      </c>
    </row>
    <row r="15" spans="1:14" x14ac:dyDescent="0.25">
      <c r="A15" s="4" t="s">
        <v>74</v>
      </c>
      <c r="B15" s="8">
        <f t="shared" ref="B15:M15" si="1">SUM(B13:B14)</f>
        <v>2714.2442632575862</v>
      </c>
      <c r="C15" s="8">
        <f t="shared" si="1"/>
        <v>2719.8154104800406</v>
      </c>
      <c r="D15" s="8">
        <f t="shared" si="1"/>
        <v>2725.420697879309</v>
      </c>
      <c r="E15" s="8">
        <f t="shared" si="1"/>
        <v>2731.0604452858647</v>
      </c>
      <c r="F15" s="8">
        <f t="shared" si="1"/>
        <v>2736.7349757069137</v>
      </c>
      <c r="G15" s="8">
        <f t="shared" si="1"/>
        <v>2742.4446153581412</v>
      </c>
      <c r="H15" s="8">
        <f t="shared" si="1"/>
        <v>2748.1896936957755</v>
      </c>
      <c r="I15" s="8">
        <f t="shared" si="1"/>
        <v>2753.9705434489697</v>
      </c>
      <c r="J15" s="8">
        <f t="shared" si="1"/>
        <v>2759.7875006525123</v>
      </c>
      <c r="K15" s="8">
        <f t="shared" si="1"/>
        <v>2765.6409046798599</v>
      </c>
      <c r="L15" s="8">
        <f t="shared" si="1"/>
        <v>2771.5310982765013</v>
      </c>
      <c r="M15" s="8">
        <f t="shared" si="1"/>
        <v>2777.4584275936591</v>
      </c>
      <c r="N15" s="8">
        <f>SUM(B15:M15)</f>
        <v>32946.29857631513</v>
      </c>
    </row>
    <row r="17" spans="1:14" x14ac:dyDescent="0.25">
      <c r="A17" s="4" t="s">
        <v>75</v>
      </c>
      <c r="B17" s="9">
        <f t="shared" ref="B17:M17" si="2">B11-B15</f>
        <v>24741.442987020277</v>
      </c>
      <c r="C17" s="9">
        <f t="shared" si="2"/>
        <v>27865.136155851531</v>
      </c>
      <c r="D17" s="9">
        <f t="shared" si="2"/>
        <v>31353.285067034085</v>
      </c>
      <c r="E17" s="9">
        <f t="shared" si="2"/>
        <v>35249.356653819341</v>
      </c>
      <c r="F17" s="9">
        <f t="shared" si="2"/>
        <v>39601.97342228856</v>
      </c>
      <c r="G17" s="9">
        <f t="shared" si="2"/>
        <v>44465.536559448374</v>
      </c>
      <c r="H17" s="9">
        <f t="shared" si="2"/>
        <v>49900.924367151645</v>
      </c>
      <c r="I17" s="9">
        <f t="shared" si="2"/>
        <v>55976.275271736537</v>
      </c>
      <c r="J17" s="9">
        <f t="shared" si="2"/>
        <v>62767.865799580941</v>
      </c>
      <c r="K17" s="9">
        <f t="shared" si="2"/>
        <v>70361.095191546672</v>
      </c>
      <c r="L17" s="9">
        <f t="shared" si="2"/>
        <v>78851.589772445543</v>
      </c>
      <c r="M17" s="9">
        <f t="shared" si="2"/>
        <v>88346.441815380604</v>
      </c>
      <c r="N17" s="9">
        <f>SUM(B17:M17)</f>
        <v>609480.92306330416</v>
      </c>
    </row>
    <row r="18" spans="1:14" x14ac:dyDescent="0.25">
      <c r="A18" t="s">
        <v>76</v>
      </c>
      <c r="B18" s="2">
        <f t="shared" ref="B18:N18" si="3">IF(B11=0,0,B17/B11)</f>
        <v>0.90114090976797101</v>
      </c>
      <c r="C18" s="2">
        <f t="shared" si="3"/>
        <v>0.91107341123031038</v>
      </c>
      <c r="D18" s="2">
        <f t="shared" si="3"/>
        <v>0.92002569825626024</v>
      </c>
      <c r="E18" s="2">
        <f t="shared" si="3"/>
        <v>0.92809293172954099</v>
      </c>
      <c r="F18" s="2">
        <f t="shared" si="3"/>
        <v>0.9353609243347516</v>
      </c>
      <c r="G18" s="2">
        <f t="shared" si="3"/>
        <v>0.94190718291461895</v>
      </c>
      <c r="H18" s="2">
        <f t="shared" si="3"/>
        <v>0.94780178655010883</v>
      </c>
      <c r="I18" s="2">
        <f t="shared" si="3"/>
        <v>0.95310813865626809</v>
      </c>
      <c r="J18" s="2">
        <f t="shared" si="3"/>
        <v>0.95788362070578403</v>
      </c>
      <c r="K18" s="2">
        <f t="shared" si="3"/>
        <v>0.962180167578646</v>
      </c>
      <c r="L18" s="2">
        <f t="shared" si="3"/>
        <v>0.96604477911759623</v>
      </c>
      <c r="M18" s="2">
        <f t="shared" si="3"/>
        <v>0.96951997862045192</v>
      </c>
      <c r="N18" s="10">
        <f t="shared" si="3"/>
        <v>0.94871590513828374</v>
      </c>
    </row>
    <row r="20" spans="1:14" x14ac:dyDescent="0.25">
      <c r="A20" s="4" t="s">
        <v>22</v>
      </c>
    </row>
    <row r="21" spans="1:14" x14ac:dyDescent="0.25">
      <c r="A21" t="str">
        <f>DATA!A34</f>
        <v>Accounting</v>
      </c>
      <c r="B21">
        <f>DATA!B34</f>
        <v>100</v>
      </c>
      <c r="C21">
        <f>DATA!C34</f>
        <v>101</v>
      </c>
      <c r="D21">
        <f>DATA!D34</f>
        <v>102</v>
      </c>
      <c r="E21">
        <f>DATA!E34</f>
        <v>103</v>
      </c>
      <c r="F21">
        <f>DATA!F34</f>
        <v>104</v>
      </c>
      <c r="G21">
        <f>DATA!G34</f>
        <v>105</v>
      </c>
      <c r="H21">
        <f>DATA!H34</f>
        <v>106</v>
      </c>
      <c r="I21">
        <f>DATA!I34</f>
        <v>107</v>
      </c>
      <c r="J21">
        <f>DATA!J34</f>
        <v>108</v>
      </c>
      <c r="K21">
        <f>DATA!K34</f>
        <v>109</v>
      </c>
      <c r="L21">
        <f>DATA!L34</f>
        <v>110</v>
      </c>
      <c r="M21">
        <f>DATA!M34</f>
        <v>111</v>
      </c>
      <c r="N21" s="6">
        <f t="shared" ref="N21:N40" si="4">SUM(B21:M21)</f>
        <v>1266</v>
      </c>
    </row>
    <row r="22" spans="1:14" x14ac:dyDescent="0.25">
      <c r="A22" t="str">
        <f>DATA!A35</f>
        <v>Advertising</v>
      </c>
      <c r="B22">
        <f>DATA!B35</f>
        <v>7000.17</v>
      </c>
      <c r="C22">
        <f>DATA!C35</f>
        <v>110.00000000000001</v>
      </c>
      <c r="D22">
        <f>DATA!D35</f>
        <v>121.00000000000003</v>
      </c>
      <c r="E22">
        <f>DATA!E35</f>
        <v>133.10000000000005</v>
      </c>
      <c r="F22">
        <f>DATA!F35</f>
        <v>146.41000000000008</v>
      </c>
      <c r="G22">
        <f>DATA!G35</f>
        <v>161.0510000000001</v>
      </c>
      <c r="H22">
        <f>DATA!H35</f>
        <v>177.15610000000012</v>
      </c>
      <c r="I22">
        <f>DATA!I35</f>
        <v>194.87171000000015</v>
      </c>
      <c r="J22">
        <f>DATA!J35</f>
        <v>214.3588810000002</v>
      </c>
      <c r="K22">
        <f>DATA!K35</f>
        <v>235.79476910000022</v>
      </c>
      <c r="L22">
        <f>DATA!L35</f>
        <v>259.37424601000026</v>
      </c>
      <c r="M22">
        <f>DATA!M35</f>
        <v>285.3116706110003</v>
      </c>
      <c r="N22" s="6">
        <f t="shared" si="4"/>
        <v>9038.5983767210018</v>
      </c>
    </row>
    <row r="23" spans="1:14" x14ac:dyDescent="0.25">
      <c r="A23" t="str">
        <f>DATA!A36</f>
        <v>Insurance</v>
      </c>
      <c r="B23">
        <f>DATA!B36</f>
        <v>6500</v>
      </c>
      <c r="C23">
        <f>DATA!C36</f>
        <v>0</v>
      </c>
      <c r="D23">
        <f>DATA!D36</f>
        <v>0</v>
      </c>
      <c r="E23">
        <f>DATA!E36</f>
        <v>0</v>
      </c>
      <c r="F23">
        <f>DATA!F36</f>
        <v>0</v>
      </c>
      <c r="G23">
        <f>DATA!G36</f>
        <v>0</v>
      </c>
      <c r="H23">
        <f>DATA!H36</f>
        <v>0</v>
      </c>
      <c r="I23">
        <f>DATA!I36</f>
        <v>0</v>
      </c>
      <c r="J23">
        <f>DATA!J36</f>
        <v>0</v>
      </c>
      <c r="K23">
        <f>DATA!K36</f>
        <v>0</v>
      </c>
      <c r="L23">
        <f>DATA!L36</f>
        <v>0</v>
      </c>
      <c r="M23">
        <f>DATA!M36</f>
        <v>0</v>
      </c>
      <c r="N23" s="6">
        <f t="shared" si="4"/>
        <v>6500</v>
      </c>
    </row>
    <row r="24" spans="1:14" x14ac:dyDescent="0.25">
      <c r="A24" t="str">
        <f>DATA!A37</f>
        <v>Legal/Professional Services</v>
      </c>
      <c r="B24">
        <f>DATA!B37</f>
        <v>9855</v>
      </c>
      <c r="C24">
        <f>DATA!C37</f>
        <v>0</v>
      </c>
      <c r="D24">
        <f>DATA!D37</f>
        <v>0</v>
      </c>
      <c r="E24">
        <f>DATA!E37</f>
        <v>0</v>
      </c>
      <c r="F24">
        <f>DATA!F37</f>
        <v>0</v>
      </c>
      <c r="G24">
        <f>DATA!G37</f>
        <v>0</v>
      </c>
      <c r="H24">
        <f>DATA!H37</f>
        <v>0</v>
      </c>
      <c r="I24">
        <f>DATA!I37</f>
        <v>0</v>
      </c>
      <c r="J24">
        <f>DATA!J37</f>
        <v>0</v>
      </c>
      <c r="K24">
        <f>DATA!K37</f>
        <v>0</v>
      </c>
      <c r="L24">
        <f>DATA!L37</f>
        <v>0</v>
      </c>
      <c r="M24">
        <f>DATA!M37</f>
        <v>0</v>
      </c>
      <c r="N24" s="6">
        <f t="shared" si="4"/>
        <v>9855</v>
      </c>
    </row>
    <row r="25" spans="1:14" x14ac:dyDescent="0.25">
      <c r="A25" t="str">
        <f>DATA!A38</f>
        <v>Licenses</v>
      </c>
      <c r="B25">
        <f>DATA!B38</f>
        <v>0</v>
      </c>
      <c r="C25">
        <f>DATA!C38</f>
        <v>0</v>
      </c>
      <c r="D25">
        <f>DATA!D38</f>
        <v>0</v>
      </c>
      <c r="E25">
        <f>DATA!E38</f>
        <v>0</v>
      </c>
      <c r="F25">
        <f>DATA!F38</f>
        <v>0</v>
      </c>
      <c r="G25">
        <f>DATA!G38</f>
        <v>0</v>
      </c>
      <c r="H25">
        <f>DATA!H38</f>
        <v>0</v>
      </c>
      <c r="I25">
        <f>DATA!I38</f>
        <v>0</v>
      </c>
      <c r="J25">
        <f>DATA!J38</f>
        <v>0</v>
      </c>
      <c r="K25">
        <f>DATA!K38</f>
        <v>0</v>
      </c>
      <c r="L25">
        <f>DATA!L38</f>
        <v>0</v>
      </c>
      <c r="M25">
        <f>DATA!M38</f>
        <v>0</v>
      </c>
      <c r="N25" s="6">
        <f t="shared" si="4"/>
        <v>0</v>
      </c>
    </row>
    <row r="26" spans="1:14" x14ac:dyDescent="0.25">
      <c r="A26" t="str">
        <f>DATA!A39</f>
        <v>Mindbody Transacation Fees</v>
      </c>
      <c r="B26">
        <f>DATA!B39</f>
        <v>300</v>
      </c>
      <c r="C26">
        <f>DATA!C39</f>
        <v>300</v>
      </c>
      <c r="D26">
        <f>DATA!D39</f>
        <v>300</v>
      </c>
      <c r="E26">
        <f>DATA!E39</f>
        <v>300</v>
      </c>
      <c r="F26">
        <f>DATA!F39</f>
        <v>300</v>
      </c>
      <c r="G26">
        <f>DATA!G39</f>
        <v>300</v>
      </c>
      <c r="H26">
        <f>DATA!H39</f>
        <v>300</v>
      </c>
      <c r="I26">
        <f>DATA!I39</f>
        <v>300</v>
      </c>
      <c r="J26">
        <f>DATA!J39</f>
        <v>300</v>
      </c>
      <c r="K26">
        <f>DATA!K39</f>
        <v>300</v>
      </c>
      <c r="L26">
        <f>DATA!L39</f>
        <v>300</v>
      </c>
      <c r="M26">
        <f>DATA!M39</f>
        <v>300</v>
      </c>
      <c r="N26" s="6">
        <f t="shared" si="4"/>
        <v>3600</v>
      </c>
    </row>
    <row r="27" spans="1:14" x14ac:dyDescent="0.25">
      <c r="A27" t="str">
        <f>DATA!A40</f>
        <v>Mindbody Software</v>
      </c>
      <c r="B27">
        <f>DATA!B40</f>
        <v>125</v>
      </c>
      <c r="C27">
        <f>DATA!C40</f>
        <v>125</v>
      </c>
      <c r="D27">
        <f>DATA!D40</f>
        <v>125</v>
      </c>
      <c r="E27">
        <f>DATA!E40</f>
        <v>125</v>
      </c>
      <c r="F27">
        <f>DATA!F40</f>
        <v>125</v>
      </c>
      <c r="G27">
        <f>DATA!G40</f>
        <v>125</v>
      </c>
      <c r="H27">
        <f>DATA!H40</f>
        <v>125</v>
      </c>
      <c r="I27">
        <f>DATA!I40</f>
        <v>125</v>
      </c>
      <c r="J27">
        <f>DATA!J40</f>
        <v>125</v>
      </c>
      <c r="K27">
        <f>DATA!K40</f>
        <v>125</v>
      </c>
      <c r="L27">
        <f>DATA!L40</f>
        <v>125</v>
      </c>
      <c r="M27">
        <f>DATA!M40</f>
        <v>125</v>
      </c>
      <c r="N27" s="6">
        <f t="shared" si="4"/>
        <v>1500</v>
      </c>
    </row>
    <row r="28" spans="1:14" x14ac:dyDescent="0.25">
      <c r="A28" t="str">
        <f>DATA!A41</f>
        <v>Paper Goods</v>
      </c>
      <c r="B28">
        <f>DATA!B41</f>
        <v>50</v>
      </c>
      <c r="C28">
        <f>DATA!C41</f>
        <v>50</v>
      </c>
      <c r="D28">
        <f>DATA!D41</f>
        <v>50</v>
      </c>
      <c r="E28">
        <f>DATA!E41</f>
        <v>50</v>
      </c>
      <c r="F28">
        <f>DATA!F41</f>
        <v>50</v>
      </c>
      <c r="G28">
        <f>DATA!G41</f>
        <v>50</v>
      </c>
      <c r="H28">
        <f>DATA!H41</f>
        <v>50</v>
      </c>
      <c r="I28">
        <f>DATA!I41</f>
        <v>50</v>
      </c>
      <c r="J28">
        <f>DATA!J41</f>
        <v>50</v>
      </c>
      <c r="K28">
        <f>DATA!K41</f>
        <v>50</v>
      </c>
      <c r="L28">
        <f>DATA!L41</f>
        <v>50</v>
      </c>
      <c r="M28">
        <f>DATA!M41</f>
        <v>50</v>
      </c>
      <c r="N28" s="6">
        <f t="shared" si="4"/>
        <v>600</v>
      </c>
    </row>
    <row r="29" spans="1:14" x14ac:dyDescent="0.25">
      <c r="A29" t="str">
        <f>DATA!A42</f>
        <v>Rent</v>
      </c>
      <c r="B29">
        <f>DATA!B42</f>
        <v>4875</v>
      </c>
      <c r="C29">
        <f>DATA!C42</f>
        <v>4875</v>
      </c>
      <c r="D29">
        <f>DATA!D42</f>
        <v>4875</v>
      </c>
      <c r="E29">
        <f>DATA!E42</f>
        <v>4875</v>
      </c>
      <c r="F29">
        <f>DATA!F42</f>
        <v>4875</v>
      </c>
      <c r="G29">
        <f>DATA!G42</f>
        <v>4875</v>
      </c>
      <c r="H29">
        <f>DATA!H42</f>
        <v>4875</v>
      </c>
      <c r="I29">
        <f>DATA!I42</f>
        <v>4875</v>
      </c>
      <c r="J29">
        <f>DATA!J42</f>
        <v>4875</v>
      </c>
      <c r="K29">
        <f>DATA!K42</f>
        <v>4875</v>
      </c>
      <c r="L29">
        <f>DATA!L42</f>
        <v>4875</v>
      </c>
      <c r="M29">
        <f>DATA!M42</f>
        <v>4875</v>
      </c>
      <c r="N29" s="6">
        <f t="shared" si="4"/>
        <v>58500</v>
      </c>
    </row>
    <row r="30" spans="1:14" x14ac:dyDescent="0.25">
      <c r="A30" t="str">
        <f>DATA!A43</f>
        <v>Tea</v>
      </c>
      <c r="B30">
        <f>DATA!B43</f>
        <v>100</v>
      </c>
      <c r="C30">
        <f>DATA!C43</f>
        <v>100</v>
      </c>
      <c r="D30">
        <f>DATA!D43</f>
        <v>100</v>
      </c>
      <c r="E30">
        <f>DATA!E43</f>
        <v>100</v>
      </c>
      <c r="F30">
        <f>DATA!F43</f>
        <v>100</v>
      </c>
      <c r="G30">
        <f>DATA!G43</f>
        <v>100</v>
      </c>
      <c r="H30">
        <f>DATA!H43</f>
        <v>100</v>
      </c>
      <c r="I30">
        <f>DATA!I43</f>
        <v>100</v>
      </c>
      <c r="J30">
        <f>DATA!J43</f>
        <v>100</v>
      </c>
      <c r="K30">
        <f>DATA!K43</f>
        <v>100</v>
      </c>
      <c r="L30">
        <f>DATA!L43</f>
        <v>100</v>
      </c>
      <c r="M30">
        <f>DATA!M43</f>
        <v>100</v>
      </c>
      <c r="N30" s="6">
        <f t="shared" si="4"/>
        <v>1200</v>
      </c>
    </row>
    <row r="31" spans="1:14" x14ac:dyDescent="0.25">
      <c r="A31" t="str">
        <f>DATA!A44</f>
        <v>Telephone</v>
      </c>
      <c r="B31">
        <f>DATA!B44</f>
        <v>100</v>
      </c>
      <c r="C31">
        <f>DATA!C44</f>
        <v>100</v>
      </c>
      <c r="D31">
        <f>DATA!D44</f>
        <v>100</v>
      </c>
      <c r="E31">
        <f>DATA!E44</f>
        <v>100</v>
      </c>
      <c r="F31">
        <f>DATA!F44</f>
        <v>100</v>
      </c>
      <c r="G31">
        <f>DATA!G44</f>
        <v>100</v>
      </c>
      <c r="H31">
        <f>DATA!H44</f>
        <v>100</v>
      </c>
      <c r="I31">
        <f>DATA!I44</f>
        <v>100</v>
      </c>
      <c r="J31">
        <f>DATA!J44</f>
        <v>100</v>
      </c>
      <c r="K31">
        <f>DATA!K44</f>
        <v>100</v>
      </c>
      <c r="L31">
        <f>DATA!L44</f>
        <v>100</v>
      </c>
      <c r="M31">
        <f>DATA!M44</f>
        <v>100</v>
      </c>
      <c r="N31" s="6">
        <f t="shared" si="4"/>
        <v>1200</v>
      </c>
    </row>
    <row r="32" spans="1:14" x14ac:dyDescent="0.25">
      <c r="A32" t="str">
        <f>DATA!A45</f>
        <v>Towel Service</v>
      </c>
      <c r="B32">
        <f>DATA!B45</f>
        <v>300</v>
      </c>
      <c r="C32">
        <f>DATA!C45</f>
        <v>300</v>
      </c>
      <c r="D32">
        <f>DATA!D45</f>
        <v>300</v>
      </c>
      <c r="E32">
        <f>DATA!E45</f>
        <v>300</v>
      </c>
      <c r="F32">
        <f>DATA!F45</f>
        <v>300</v>
      </c>
      <c r="G32">
        <f>DATA!G45</f>
        <v>300</v>
      </c>
      <c r="H32">
        <f>DATA!H45</f>
        <v>300</v>
      </c>
      <c r="I32">
        <f>DATA!I45</f>
        <v>300</v>
      </c>
      <c r="J32">
        <f>DATA!J45</f>
        <v>300</v>
      </c>
      <c r="K32">
        <f>DATA!K45</f>
        <v>300</v>
      </c>
      <c r="L32">
        <f>DATA!L45</f>
        <v>300</v>
      </c>
      <c r="M32">
        <f>DATA!M45</f>
        <v>300</v>
      </c>
      <c r="N32" s="6">
        <f t="shared" si="4"/>
        <v>3600</v>
      </c>
    </row>
    <row r="33" spans="1:14" x14ac:dyDescent="0.25">
      <c r="A33" t="str">
        <f>DATA!A46</f>
        <v>Utilities</v>
      </c>
      <c r="B33">
        <f>DATA!B46</f>
        <v>200</v>
      </c>
      <c r="C33">
        <f>DATA!C46</f>
        <v>200</v>
      </c>
      <c r="D33">
        <f>DATA!D46</f>
        <v>200</v>
      </c>
      <c r="E33">
        <f>DATA!E46</f>
        <v>200</v>
      </c>
      <c r="F33">
        <f>DATA!F46</f>
        <v>200</v>
      </c>
      <c r="G33">
        <f>DATA!G46</f>
        <v>200</v>
      </c>
      <c r="H33">
        <f>DATA!H46</f>
        <v>200</v>
      </c>
      <c r="I33">
        <f>DATA!I46</f>
        <v>200</v>
      </c>
      <c r="J33">
        <f>DATA!J46</f>
        <v>200</v>
      </c>
      <c r="K33">
        <f>DATA!K46</f>
        <v>200</v>
      </c>
      <c r="L33">
        <f>DATA!L46</f>
        <v>200</v>
      </c>
      <c r="M33">
        <f>DATA!M46</f>
        <v>200</v>
      </c>
      <c r="N33" s="6">
        <f t="shared" si="4"/>
        <v>2400</v>
      </c>
    </row>
    <row r="34" spans="1:14" x14ac:dyDescent="0.25">
      <c r="A34" t="str">
        <f>DATA!A47</f>
        <v>Wifi</v>
      </c>
      <c r="B34">
        <f>DATA!B47</f>
        <v>50</v>
      </c>
      <c r="C34">
        <f>DATA!C47</f>
        <v>50</v>
      </c>
      <c r="D34">
        <f>DATA!D47</f>
        <v>50</v>
      </c>
      <c r="E34">
        <f>DATA!E47</f>
        <v>50</v>
      </c>
      <c r="F34">
        <f>DATA!F47</f>
        <v>50</v>
      </c>
      <c r="G34">
        <f>DATA!G47</f>
        <v>50</v>
      </c>
      <c r="H34">
        <f>DATA!H47</f>
        <v>50</v>
      </c>
      <c r="I34">
        <f>DATA!I47</f>
        <v>50</v>
      </c>
      <c r="J34">
        <f>DATA!J47</f>
        <v>50</v>
      </c>
      <c r="K34">
        <f>DATA!K47</f>
        <v>50</v>
      </c>
      <c r="L34">
        <f>DATA!L47</f>
        <v>50</v>
      </c>
      <c r="M34">
        <f>DATA!M47</f>
        <v>50</v>
      </c>
      <c r="N34" s="6">
        <f t="shared" si="4"/>
        <v>600</v>
      </c>
    </row>
    <row r="35" spans="1:14" x14ac:dyDescent="0.25">
      <c r="A35" t="str">
        <f>DATA!A48</f>
        <v>Water</v>
      </c>
      <c r="B35">
        <f>DATA!B48</f>
        <v>25</v>
      </c>
      <c r="C35">
        <f>DATA!C48</f>
        <v>25</v>
      </c>
      <c r="D35">
        <f>DATA!D48</f>
        <v>25</v>
      </c>
      <c r="E35">
        <f>DATA!E48</f>
        <v>25</v>
      </c>
      <c r="F35">
        <f>DATA!F48</f>
        <v>25</v>
      </c>
      <c r="G35">
        <f>DATA!G48</f>
        <v>25</v>
      </c>
      <c r="H35">
        <f>DATA!H48</f>
        <v>25</v>
      </c>
      <c r="I35">
        <f>DATA!I48</f>
        <v>25</v>
      </c>
      <c r="J35">
        <f>DATA!J48</f>
        <v>25</v>
      </c>
      <c r="K35">
        <f>DATA!K48</f>
        <v>25</v>
      </c>
      <c r="L35">
        <f>DATA!L48</f>
        <v>25</v>
      </c>
      <c r="M35">
        <f>DATA!M48</f>
        <v>25</v>
      </c>
      <c r="N35" s="6">
        <f t="shared" si="4"/>
        <v>300</v>
      </c>
    </row>
    <row r="36" spans="1:14" x14ac:dyDescent="0.25">
      <c r="A36" t="s">
        <v>77</v>
      </c>
      <c r="B36" s="5">
        <f>SalaryModule!Z12</f>
        <v>0</v>
      </c>
      <c r="C36" s="5">
        <f>SalaryModule!AA12</f>
        <v>0</v>
      </c>
      <c r="D36" s="5">
        <f>SalaryModule!AB12</f>
        <v>0</v>
      </c>
      <c r="E36" s="5">
        <f>SalaryModule!AC12</f>
        <v>0</v>
      </c>
      <c r="F36" s="5">
        <f>SalaryModule!AD12</f>
        <v>0</v>
      </c>
      <c r="G36" s="5">
        <f>SalaryModule!AE12</f>
        <v>0</v>
      </c>
      <c r="H36" s="5">
        <f>SalaryModule!AF12</f>
        <v>0</v>
      </c>
      <c r="I36" s="5">
        <f>SalaryModule!AG12</f>
        <v>0</v>
      </c>
      <c r="J36" s="5">
        <f>SalaryModule!AH12</f>
        <v>0</v>
      </c>
      <c r="K36" s="5">
        <f>SalaryModule!AI12</f>
        <v>0</v>
      </c>
      <c r="L36" s="5">
        <f>SalaryModule!AJ12</f>
        <v>0</v>
      </c>
      <c r="M36" s="5">
        <f>SalaryModule!AK12</f>
        <v>0</v>
      </c>
      <c r="N36" s="6">
        <f t="shared" si="4"/>
        <v>0</v>
      </c>
    </row>
    <row r="37" spans="1:14" x14ac:dyDescent="0.25">
      <c r="A37" t="s">
        <v>78</v>
      </c>
      <c r="B37" s="5">
        <f>LoanModule!D33</f>
        <v>0</v>
      </c>
      <c r="C37" s="5">
        <f>LoanModule!D34</f>
        <v>0</v>
      </c>
      <c r="D37" s="5">
        <f>LoanModule!D35</f>
        <v>0</v>
      </c>
      <c r="E37" s="5">
        <f>LoanModule!D36</f>
        <v>0</v>
      </c>
      <c r="F37" s="5">
        <f>LoanModule!D37</f>
        <v>0</v>
      </c>
      <c r="G37" s="5">
        <f>LoanModule!D38</f>
        <v>0</v>
      </c>
      <c r="H37" s="5">
        <f>LoanModule!D39</f>
        <v>0</v>
      </c>
      <c r="I37" s="5">
        <f>LoanModule!D40</f>
        <v>0</v>
      </c>
      <c r="J37" s="5">
        <f>LoanModule!D41</f>
        <v>0</v>
      </c>
      <c r="K37" s="5">
        <f>LoanModule!D42</f>
        <v>0</v>
      </c>
      <c r="L37" s="5">
        <f>LoanModule!D43</f>
        <v>0</v>
      </c>
      <c r="M37" s="5">
        <f>LoanModule!D44</f>
        <v>0</v>
      </c>
      <c r="N37" s="6">
        <f t="shared" si="4"/>
        <v>0</v>
      </c>
    </row>
    <row r="38" spans="1:14" x14ac:dyDescent="0.25">
      <c r="A38" t="s">
        <v>79</v>
      </c>
      <c r="B38" s="5">
        <f>DATA!B50*DATA!Z56</f>
        <v>0</v>
      </c>
      <c r="C38" s="5">
        <f>DATA!B50*DATA!AA56</f>
        <v>0</v>
      </c>
      <c r="D38" s="5">
        <f>DATA!B50*DATA!AB56</f>
        <v>0</v>
      </c>
      <c r="E38" s="5">
        <f>DATA!B50*DATA!AC56</f>
        <v>0</v>
      </c>
      <c r="F38" s="5">
        <f>DATA!B50*DATA!AD56</f>
        <v>0</v>
      </c>
      <c r="G38" s="5">
        <f>DATA!B50*DATA!AE56</f>
        <v>0</v>
      </c>
      <c r="H38" s="5">
        <f>DATA!B50*DATA!AF56</f>
        <v>0</v>
      </c>
      <c r="I38" s="5">
        <f>DATA!B50*DATA!AG56</f>
        <v>0</v>
      </c>
      <c r="J38" s="5">
        <f>DATA!B50*DATA!AH56</f>
        <v>0</v>
      </c>
      <c r="K38" s="5">
        <f>DATA!B50*DATA!AI56</f>
        <v>0</v>
      </c>
      <c r="L38" s="5">
        <f>DATA!B50*DATA!AJ56</f>
        <v>0</v>
      </c>
      <c r="M38" s="5">
        <f>DATA!B50*DATA!AK56</f>
        <v>0</v>
      </c>
      <c r="N38" s="6">
        <f t="shared" si="4"/>
        <v>0</v>
      </c>
    </row>
    <row r="39" spans="1:14" x14ac:dyDescent="0.25">
      <c r="A39" t="s">
        <v>80</v>
      </c>
      <c r="B39" s="5">
        <f>DATA!Z61</f>
        <v>1077.3809523809523</v>
      </c>
      <c r="C39" s="5">
        <f>DATA!AA61</f>
        <v>1077.3809523809523</v>
      </c>
      <c r="D39" s="5">
        <f>DATA!AB61</f>
        <v>1077.3809523809523</v>
      </c>
      <c r="E39" s="5">
        <f>DATA!AC61</f>
        <v>1077.3809523809523</v>
      </c>
      <c r="F39" s="5">
        <f>DATA!AD61</f>
        <v>1077.3809523809523</v>
      </c>
      <c r="G39" s="5">
        <f>DATA!AE61</f>
        <v>1077.3809523809523</v>
      </c>
      <c r="H39" s="5">
        <f>DATA!AF61</f>
        <v>1077.3809523809523</v>
      </c>
      <c r="I39" s="5">
        <f>DATA!AG61</f>
        <v>1077.3809523809523</v>
      </c>
      <c r="J39" s="5">
        <f>DATA!AH61</f>
        <v>1077.3809523809523</v>
      </c>
      <c r="K39" s="5">
        <f>DATA!AI61</f>
        <v>1077.3809523809523</v>
      </c>
      <c r="L39" s="5">
        <f>DATA!AJ61</f>
        <v>1077.3809523809523</v>
      </c>
      <c r="M39" s="5">
        <f>DATA!AK61</f>
        <v>1077.3809523809523</v>
      </c>
      <c r="N39" s="6">
        <f t="shared" si="4"/>
        <v>12928.571428571428</v>
      </c>
    </row>
    <row r="40" spans="1:14" x14ac:dyDescent="0.25">
      <c r="A40" s="4" t="s">
        <v>81</v>
      </c>
      <c r="B40" s="7">
        <f t="shared" ref="B40:M40" si="5">SUM(B21:B39)</f>
        <v>30657.550952380952</v>
      </c>
      <c r="C40" s="7">
        <f t="shared" si="5"/>
        <v>7413.3809523809523</v>
      </c>
      <c r="D40" s="7">
        <f t="shared" si="5"/>
        <v>7425.3809523809523</v>
      </c>
      <c r="E40" s="7">
        <f t="shared" si="5"/>
        <v>7438.4809523809527</v>
      </c>
      <c r="F40" s="7">
        <f t="shared" si="5"/>
        <v>7452.7909523809521</v>
      </c>
      <c r="G40" s="7">
        <f t="shared" si="5"/>
        <v>7468.4319523809527</v>
      </c>
      <c r="H40" s="7">
        <f t="shared" si="5"/>
        <v>7485.5370523809524</v>
      </c>
      <c r="I40" s="7">
        <f t="shared" si="5"/>
        <v>7504.2526623809526</v>
      </c>
      <c r="J40" s="7">
        <f t="shared" si="5"/>
        <v>7524.7398333809524</v>
      </c>
      <c r="K40" s="7">
        <f t="shared" si="5"/>
        <v>7547.1757214809522</v>
      </c>
      <c r="L40" s="7">
        <f t="shared" si="5"/>
        <v>7571.7551983909525</v>
      </c>
      <c r="M40" s="7">
        <f t="shared" si="5"/>
        <v>7598.6926229919527</v>
      </c>
      <c r="N40" s="7">
        <f t="shared" si="4"/>
        <v>113088.16980529242</v>
      </c>
    </row>
    <row r="42" spans="1:14" x14ac:dyDescent="0.25">
      <c r="A42" s="4" t="s">
        <v>82</v>
      </c>
      <c r="B42" s="9">
        <f t="shared" ref="B42:M42" si="6">B17-B40</f>
        <v>-5916.1079653606757</v>
      </c>
      <c r="C42" s="9">
        <f t="shared" si="6"/>
        <v>20451.75520347058</v>
      </c>
      <c r="D42" s="9">
        <f t="shared" si="6"/>
        <v>23927.904114653131</v>
      </c>
      <c r="E42" s="9">
        <f t="shared" si="6"/>
        <v>27810.875701438388</v>
      </c>
      <c r="F42" s="9">
        <f t="shared" si="6"/>
        <v>32149.18246990761</v>
      </c>
      <c r="G42" s="9">
        <f t="shared" si="6"/>
        <v>36997.10460706742</v>
      </c>
      <c r="H42" s="9">
        <f t="shared" si="6"/>
        <v>42415.387314770691</v>
      </c>
      <c r="I42" s="9">
        <f t="shared" si="6"/>
        <v>48472.022609355583</v>
      </c>
      <c r="J42" s="9">
        <f t="shared" si="6"/>
        <v>55243.125966199987</v>
      </c>
      <c r="K42" s="9">
        <f t="shared" si="6"/>
        <v>62813.919470065717</v>
      </c>
      <c r="L42" s="9">
        <f t="shared" si="6"/>
        <v>71279.834574054592</v>
      </c>
      <c r="M42" s="9">
        <f t="shared" si="6"/>
        <v>80747.749192388656</v>
      </c>
      <c r="N42" s="9">
        <f>SUM(B42:M42)</f>
        <v>496392.75325801171</v>
      </c>
    </row>
    <row r="44" spans="1:14" x14ac:dyDescent="0.25">
      <c r="A44" t="s">
        <v>83</v>
      </c>
      <c r="B44" s="5">
        <f>N44/12</f>
        <v>413.66062771500975</v>
      </c>
      <c r="C44" s="5">
        <f>N44/12</f>
        <v>413.66062771500975</v>
      </c>
      <c r="D44" s="5">
        <f>N44/12</f>
        <v>413.66062771500975</v>
      </c>
      <c r="E44" s="5">
        <f>N44/12</f>
        <v>413.66062771500975</v>
      </c>
      <c r="F44" s="5">
        <f>N44/12</f>
        <v>413.66062771500975</v>
      </c>
      <c r="G44" s="5">
        <f>N44/12</f>
        <v>413.66062771500975</v>
      </c>
      <c r="H44" s="5">
        <f>N44/12</f>
        <v>413.66062771500975</v>
      </c>
      <c r="I44" s="5">
        <f>N44/12</f>
        <v>413.66062771500975</v>
      </c>
      <c r="J44" s="5">
        <f>N44/12</f>
        <v>413.66062771500975</v>
      </c>
      <c r="K44" s="5">
        <f>N44/12</f>
        <v>413.66062771500975</v>
      </c>
      <c r="L44" s="5">
        <f>N44/12</f>
        <v>413.66062771500975</v>
      </c>
      <c r="M44" s="5">
        <f>N44/12</f>
        <v>413.66062771500975</v>
      </c>
      <c r="N44" s="6">
        <f>IF(N42&lt;=0,0,N42*DATA!B51)</f>
        <v>4963.9275325801173</v>
      </c>
    </row>
    <row r="46" spans="1:14" x14ac:dyDescent="0.25">
      <c r="A46" s="4" t="s">
        <v>84</v>
      </c>
      <c r="B46" s="8">
        <f t="shared" ref="B46:M46" si="7">B42-B44</f>
        <v>-6329.7685930756852</v>
      </c>
      <c r="C46" s="8">
        <f t="shared" si="7"/>
        <v>20038.094575755571</v>
      </c>
      <c r="D46" s="8">
        <f t="shared" si="7"/>
        <v>23514.243486938121</v>
      </c>
      <c r="E46" s="8">
        <f t="shared" si="7"/>
        <v>27397.215073723379</v>
      </c>
      <c r="F46" s="8">
        <f t="shared" si="7"/>
        <v>31735.5218421926</v>
      </c>
      <c r="G46" s="8">
        <f t="shared" si="7"/>
        <v>36583.443979352407</v>
      </c>
      <c r="H46" s="8">
        <f t="shared" si="7"/>
        <v>42001.726687055678</v>
      </c>
      <c r="I46" s="8">
        <f t="shared" si="7"/>
        <v>48058.36198164057</v>
      </c>
      <c r="J46" s="8">
        <f t="shared" si="7"/>
        <v>54829.465338484973</v>
      </c>
      <c r="K46" s="8">
        <f t="shared" si="7"/>
        <v>62400.258842350704</v>
      </c>
      <c r="L46" s="8">
        <f t="shared" si="7"/>
        <v>70866.173946339579</v>
      </c>
      <c r="M46" s="8">
        <f t="shared" si="7"/>
        <v>80334.088564673642</v>
      </c>
      <c r="N46" s="8">
        <f>SUM(B46:M46)</f>
        <v>491428.82572543155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  <row r="52" spans="1:1" x14ac:dyDescent="0.25">
      <c r="A52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C10" sqref="C10"/>
    </sheetView>
  </sheetViews>
  <sheetFormatPr defaultRowHeight="15" x14ac:dyDescent="0.25"/>
  <cols>
    <col min="1" max="1" width="40" bestFit="1" customWidth="1"/>
    <col min="2" max="14" width="12.85546875" bestFit="1" customWidth="1"/>
    <col min="15" max="15" width="8.140625" bestFit="1" customWidth="1"/>
  </cols>
  <sheetData>
    <row r="1" spans="1:15" x14ac:dyDescent="0.25">
      <c r="A1" t="str">
        <f>DATA!B1</f>
        <v>Example Yoga Financial Projections</v>
      </c>
    </row>
    <row r="2" spans="1:15" x14ac:dyDescent="0.25">
      <c r="A2" t="s">
        <v>90</v>
      </c>
    </row>
    <row r="3" spans="1:15" x14ac:dyDescent="0.25">
      <c r="A3" t="s">
        <v>69</v>
      </c>
    </row>
    <row r="5" spans="1:15" x14ac:dyDescent="0.25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4" t="s">
        <v>69</v>
      </c>
    </row>
    <row r="7" spans="1:15" x14ac:dyDescent="0.25">
      <c r="A7" s="4" t="s">
        <v>91</v>
      </c>
      <c r="B7" s="5">
        <f>0</f>
        <v>0</v>
      </c>
      <c r="C7" s="5">
        <f>StartupCosts!B2</f>
        <v>0</v>
      </c>
      <c r="D7" s="5">
        <f t="shared" ref="D7:N7" si="0">C7+C43</f>
        <v>-14543.16</v>
      </c>
      <c r="E7" s="5">
        <f t="shared" si="0"/>
        <v>-19166.394191723361</v>
      </c>
      <c r="F7" s="5">
        <f t="shared" si="0"/>
        <v>-23439.265237915602</v>
      </c>
      <c r="G7" s="5">
        <f t="shared" si="0"/>
        <v>-27337.168788399955</v>
      </c>
      <c r="H7" s="5">
        <f t="shared" si="0"/>
        <v>-30823.663544993593</v>
      </c>
      <c r="I7" s="5">
        <f t="shared" si="0"/>
        <v>-33849.743054641411</v>
      </c>
      <c r="J7" s="5">
        <f t="shared" si="0"/>
        <v>-35874.891436295889</v>
      </c>
      <c r="K7" s="5">
        <f t="shared" si="0"/>
        <v>-37358.60699586953</v>
      </c>
      <c r="L7" s="5">
        <f t="shared" si="0"/>
        <v>-38256.526911620524</v>
      </c>
      <c r="M7" s="5">
        <f t="shared" si="0"/>
        <v>-38516.939209669501</v>
      </c>
      <c r="N7" s="5">
        <f t="shared" si="0"/>
        <v>-38080.074849482102</v>
      </c>
      <c r="O7" s="6">
        <f>N7</f>
        <v>-38080.074849482102</v>
      </c>
    </row>
    <row r="9" spans="1:15" x14ac:dyDescent="0.25">
      <c r="A9" s="4" t="s">
        <v>92</v>
      </c>
    </row>
    <row r="10" spans="1:15" x14ac:dyDescent="0.25">
      <c r="A10" t="s">
        <v>129</v>
      </c>
      <c r="B10" s="5">
        <v>0</v>
      </c>
      <c r="C10" s="5">
        <f>DATA!B56</f>
        <v>791.92499999999995</v>
      </c>
      <c r="D10" s="5">
        <f>DATA!C56</f>
        <v>1139.6858082766412</v>
      </c>
      <c r="E10" s="5">
        <f>DATA!D56</f>
        <v>1500.9276238077562</v>
      </c>
      <c r="F10" s="5">
        <f>DATA!E56</f>
        <v>1887.3515056856475</v>
      </c>
      <c r="G10" s="5">
        <f>DATA!F56</f>
        <v>2310.8496580075307</v>
      </c>
      <c r="H10" s="5">
        <f>DATA!G56</f>
        <v>2784.0479942766997</v>
      </c>
      <c r="I10" s="5">
        <f>DATA!H56</f>
        <v>3798.5227536817997</v>
      </c>
      <c r="J10" s="5">
        <f>DATA!I56</f>
        <v>4354.3332180498946</v>
      </c>
      <c r="K10" s="5">
        <f>DATA!J56</f>
        <v>4955.4213069390944</v>
      </c>
      <c r="L10" s="5">
        <f>DATA!K56</f>
        <v>5609.2250195836777</v>
      </c>
      <c r="M10" s="5">
        <f>DATA!L56</f>
        <v>6323.8991302096165</v>
      </c>
      <c r="N10" s="5">
        <f>DATA!M56</f>
        <v>7108.4223316934449</v>
      </c>
      <c r="O10" s="6">
        <f>SUM(B10:N10)</f>
        <v>42564.611350211802</v>
      </c>
    </row>
    <row r="11" spans="1:15" x14ac:dyDescent="0.25">
      <c r="A11" t="s">
        <v>65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5">
        <f>0</f>
        <v>0</v>
      </c>
      <c r="O11" s="6">
        <f>SUM(B11:N11)</f>
        <v>0</v>
      </c>
    </row>
    <row r="12" spans="1:15" x14ac:dyDescent="0.25">
      <c r="A12" t="s">
        <v>93</v>
      </c>
      <c r="B12" s="5">
        <v>0</v>
      </c>
      <c r="C12" s="5">
        <f>IF(C5=DATA!C18,DATA!B18,0)</f>
        <v>0</v>
      </c>
      <c r="D12" s="5">
        <f>IF(D5=DATA!C18,DATA!B18,0)</f>
        <v>0</v>
      </c>
      <c r="E12" s="5">
        <f>IF(E5=DATA!C18,DATA!B18,0)</f>
        <v>0</v>
      </c>
      <c r="F12" s="5">
        <f>IF(F5=DATA!C18,DATA!B18,0)</f>
        <v>0</v>
      </c>
      <c r="G12" s="5">
        <f>IF(G5=DATA!C18,DATA!B18,0)</f>
        <v>0</v>
      </c>
      <c r="H12" s="5">
        <f>IF(H5=DATA!C18,DATA!B18,0)</f>
        <v>0</v>
      </c>
      <c r="I12" s="5">
        <f>IF(I5=DATA!C18,DATA!B18,0)</f>
        <v>0</v>
      </c>
      <c r="J12" s="5">
        <f>IF(J5=DATA!C18,DATA!B18,0)</f>
        <v>0</v>
      </c>
      <c r="K12" s="5">
        <f>IF(K5=DATA!C18,DATA!B18,0)</f>
        <v>0</v>
      </c>
      <c r="L12" s="5">
        <f>IF(L5=DATA!C18,DATA!B18,0)</f>
        <v>0</v>
      </c>
      <c r="M12" s="5">
        <f>IF(M5=DATA!C18,DATA!B18,0)</f>
        <v>0</v>
      </c>
      <c r="N12" s="5">
        <f>IF(N5=DATA!C18,DATA!B18,0)</f>
        <v>0</v>
      </c>
      <c r="O12" s="6">
        <f>SUM(B12:N12)</f>
        <v>0</v>
      </c>
    </row>
    <row r="13" spans="1:15" x14ac:dyDescent="0.25">
      <c r="A13" s="4" t="s">
        <v>94</v>
      </c>
      <c r="B13" s="8">
        <f t="shared" ref="B13:N13" si="1">SUM(B10:B12)</f>
        <v>0</v>
      </c>
      <c r="C13" s="8">
        <f t="shared" si="1"/>
        <v>791.92499999999995</v>
      </c>
      <c r="D13" s="8">
        <f t="shared" si="1"/>
        <v>1139.6858082766412</v>
      </c>
      <c r="E13" s="8">
        <f t="shared" si="1"/>
        <v>1500.9276238077562</v>
      </c>
      <c r="F13" s="8">
        <f t="shared" si="1"/>
        <v>1887.3515056856475</v>
      </c>
      <c r="G13" s="8">
        <f t="shared" si="1"/>
        <v>2310.8496580075307</v>
      </c>
      <c r="H13" s="8">
        <f t="shared" si="1"/>
        <v>2784.0479942766997</v>
      </c>
      <c r="I13" s="8">
        <f t="shared" si="1"/>
        <v>3798.5227536817997</v>
      </c>
      <c r="J13" s="8">
        <f t="shared" si="1"/>
        <v>4354.3332180498946</v>
      </c>
      <c r="K13" s="8">
        <f t="shared" si="1"/>
        <v>4955.4213069390944</v>
      </c>
      <c r="L13" s="8">
        <f t="shared" si="1"/>
        <v>5609.2250195836777</v>
      </c>
      <c r="M13" s="8">
        <f t="shared" si="1"/>
        <v>6323.8991302096165</v>
      </c>
      <c r="N13" s="8">
        <f t="shared" si="1"/>
        <v>7108.4223316934449</v>
      </c>
      <c r="O13" s="8">
        <f>SUM(B13:N13)</f>
        <v>42564.611350211802</v>
      </c>
    </row>
    <row r="15" spans="1:15" x14ac:dyDescent="0.25">
      <c r="A15" s="4" t="s">
        <v>95</v>
      </c>
    </row>
    <row r="16" spans="1:15" x14ac:dyDescent="0.25">
      <c r="A16" t="s">
        <v>96</v>
      </c>
      <c r="B16" s="5">
        <v>0</v>
      </c>
      <c r="C16" s="5">
        <f>DATA!B57/2</f>
        <v>125</v>
      </c>
      <c r="D16" s="5">
        <f>(DATA!B57/2)+(DATA!C57/2)</f>
        <v>251.25</v>
      </c>
      <c r="E16" s="5">
        <f>(DATA!C57/2)+(DATA!D57/2)</f>
        <v>253.76249999999999</v>
      </c>
      <c r="F16" s="5">
        <f>(DATA!D57/2)+(DATA!E57/2)</f>
        <v>256.30012499999998</v>
      </c>
      <c r="G16" s="5">
        <f>(DATA!E57/2)+(DATA!F57/2)</f>
        <v>258.86312624999999</v>
      </c>
      <c r="H16" s="5">
        <f>(DATA!F57/2)+(DATA!G57/2)</f>
        <v>261.45175751249997</v>
      </c>
      <c r="I16" s="5">
        <f>(DATA!G57/2)+(DATA!H57/2)</f>
        <v>264.06627508762494</v>
      </c>
      <c r="J16" s="5">
        <f>(DATA!H57/2)+(DATA!I57/2)</f>
        <v>266.70693783850118</v>
      </c>
      <c r="K16" s="5">
        <f>(DATA!I57/2)+(DATA!J57/2)</f>
        <v>269.37400721688618</v>
      </c>
      <c r="L16" s="5">
        <f>(DATA!J57/2)+(DATA!K57/2)</f>
        <v>272.06774728905509</v>
      </c>
      <c r="M16" s="5">
        <f>(DATA!K57/2)+(DATA!L57/2)</f>
        <v>274.78842476194563</v>
      </c>
      <c r="N16" s="5">
        <f>(DATA!L57/2)+(DATA!M57/2)</f>
        <v>277.53630900956512</v>
      </c>
      <c r="O16" s="6">
        <f t="shared" ref="O16:O41" si="2">SUM(B16:N16)</f>
        <v>3031.1672099660782</v>
      </c>
    </row>
    <row r="17" spans="1:15" x14ac:dyDescent="0.25">
      <c r="A17" t="s">
        <v>97</v>
      </c>
      <c r="B17" s="5">
        <v>0</v>
      </c>
      <c r="C17" s="5">
        <f>DATA!B58/2</f>
        <v>1170</v>
      </c>
      <c r="D17" s="5">
        <f>(DATA!B58/2)+(DATA!C58/2)</f>
        <v>2341.17</v>
      </c>
      <c r="E17" s="5">
        <f>(DATA!C58/2)+(DATA!D58/2)</f>
        <v>2343.5111699999998</v>
      </c>
      <c r="F17" s="5">
        <f>(DATA!D58/2)+(DATA!E58/2)</f>
        <v>2345.8546811699989</v>
      </c>
      <c r="G17" s="5">
        <f>(DATA!E58/2)+(DATA!F58/2)</f>
        <v>2348.2005358511688</v>
      </c>
      <c r="H17" s="5">
        <f>(DATA!F58/2)+(DATA!G58/2)</f>
        <v>2350.5487363870197</v>
      </c>
      <c r="I17" s="5">
        <f>(DATA!G58/2)+(DATA!H58/2)</f>
        <v>2352.8992851234061</v>
      </c>
      <c r="J17" s="5">
        <f>(DATA!H58/2)+(DATA!I58/2)</f>
        <v>2355.2521844085295</v>
      </c>
      <c r="K17" s="5">
        <f>(DATA!I58/2)+(DATA!J58/2)</f>
        <v>2357.6074365929376</v>
      </c>
      <c r="L17" s="5">
        <f>(DATA!J58/2)+(DATA!K58/2)</f>
        <v>2359.9650440295304</v>
      </c>
      <c r="M17" s="5">
        <f>(DATA!K58/2)+(DATA!L58/2)</f>
        <v>2362.3250090735601</v>
      </c>
      <c r="N17" s="5">
        <f>(DATA!L58/2)+(DATA!M58/2)</f>
        <v>2364.6873340826332</v>
      </c>
      <c r="O17" s="6">
        <f t="shared" si="2"/>
        <v>27052.021416718788</v>
      </c>
    </row>
    <row r="18" spans="1:15" x14ac:dyDescent="0.25">
      <c r="A18" t="str">
        <f>IncomeStatement_Year1!A21</f>
        <v>Accounting</v>
      </c>
      <c r="B18" s="5">
        <v>0</v>
      </c>
      <c r="C18" s="5">
        <f>DATA!B34/2</f>
        <v>50</v>
      </c>
      <c r="D18" s="5">
        <f>DATA!C34/2</f>
        <v>50.5</v>
      </c>
      <c r="E18" s="5">
        <f>DATA!D34/2</f>
        <v>51</v>
      </c>
      <c r="F18" s="5">
        <f>DATA!E34/2</f>
        <v>51.5</v>
      </c>
      <c r="G18" s="5">
        <f>DATA!F34/2</f>
        <v>52</v>
      </c>
      <c r="H18" s="5">
        <f>DATA!G34/2</f>
        <v>52.5</v>
      </c>
      <c r="I18" s="5">
        <f>DATA!H34/2</f>
        <v>53</v>
      </c>
      <c r="J18" s="5">
        <f>DATA!I34/2</f>
        <v>53.5</v>
      </c>
      <c r="K18" s="5">
        <f>DATA!J34/2</f>
        <v>54</v>
      </c>
      <c r="L18" s="5">
        <f>DATA!K34/2</f>
        <v>54.5</v>
      </c>
      <c r="M18" s="5">
        <f>DATA!L34/2</f>
        <v>55</v>
      </c>
      <c r="N18" s="5">
        <f>DATA!M34/2</f>
        <v>55.5</v>
      </c>
      <c r="O18" s="6">
        <f t="shared" si="2"/>
        <v>633</v>
      </c>
    </row>
    <row r="19" spans="1:15" x14ac:dyDescent="0.25">
      <c r="A19" t="str">
        <f>IncomeStatement_Year1!A22</f>
        <v>Advertising</v>
      </c>
      <c r="B19" s="5">
        <v>0</v>
      </c>
      <c r="C19" s="5">
        <f>DATA!B35/2</f>
        <v>3500.085</v>
      </c>
      <c r="D19" s="5">
        <f>DATA!C35/2</f>
        <v>55.000000000000007</v>
      </c>
      <c r="E19" s="5">
        <f>DATA!D35/2</f>
        <v>60.500000000000014</v>
      </c>
      <c r="F19" s="5">
        <f>DATA!E35/2</f>
        <v>66.550000000000026</v>
      </c>
      <c r="G19" s="5">
        <f>DATA!F35/2</f>
        <v>73.205000000000041</v>
      </c>
      <c r="H19" s="5">
        <f>DATA!G35/2</f>
        <v>80.525500000000051</v>
      </c>
      <c r="I19" s="5">
        <f>DATA!H35/2</f>
        <v>88.578050000000061</v>
      </c>
      <c r="J19" s="5">
        <f>DATA!I35/2</f>
        <v>97.435855000000075</v>
      </c>
      <c r="K19" s="5">
        <f>DATA!J35/2</f>
        <v>107.1794405000001</v>
      </c>
      <c r="L19" s="5">
        <f>DATA!K35/2</f>
        <v>117.89738455000011</v>
      </c>
      <c r="M19" s="5">
        <f>DATA!L35/2</f>
        <v>129.68712300500013</v>
      </c>
      <c r="N19" s="5">
        <f>DATA!M35/2</f>
        <v>142.65583530550015</v>
      </c>
      <c r="O19" s="6">
        <f t="shared" si="2"/>
        <v>4519.2991883605009</v>
      </c>
    </row>
    <row r="20" spans="1:15" x14ac:dyDescent="0.25">
      <c r="A20" t="str">
        <f>IncomeStatement_Year1!A23</f>
        <v>Insurance</v>
      </c>
      <c r="B20" s="5">
        <v>0</v>
      </c>
      <c r="C20" s="5">
        <f>DATA!B36/2</f>
        <v>3250</v>
      </c>
      <c r="D20" s="5">
        <f>DATA!C36/2</f>
        <v>0</v>
      </c>
      <c r="E20" s="5">
        <f>DATA!D36/2</f>
        <v>0</v>
      </c>
      <c r="F20" s="5">
        <f>DATA!E36/2</f>
        <v>0</v>
      </c>
      <c r="G20" s="5">
        <f>DATA!F36/2</f>
        <v>0</v>
      </c>
      <c r="H20" s="5">
        <f>DATA!G36/2</f>
        <v>0</v>
      </c>
      <c r="I20" s="5">
        <f>DATA!H36/2</f>
        <v>0</v>
      </c>
      <c r="J20" s="5">
        <f>DATA!I36/2</f>
        <v>0</v>
      </c>
      <c r="K20" s="5">
        <f>DATA!J36/2</f>
        <v>0</v>
      </c>
      <c r="L20" s="5">
        <f>DATA!K36/2</f>
        <v>0</v>
      </c>
      <c r="M20" s="5">
        <f>DATA!L36/2</f>
        <v>0</v>
      </c>
      <c r="N20" s="5">
        <f>DATA!M36/2</f>
        <v>0</v>
      </c>
      <c r="O20" s="6">
        <f t="shared" si="2"/>
        <v>3250</v>
      </c>
    </row>
    <row r="21" spans="1:15" x14ac:dyDescent="0.25">
      <c r="A21" t="str">
        <f>IncomeStatement_Year1!A24</f>
        <v>Legal/Professional Services</v>
      </c>
      <c r="B21" s="5">
        <v>0</v>
      </c>
      <c r="C21" s="5">
        <f>DATA!B37/2</f>
        <v>4927.5</v>
      </c>
      <c r="D21" s="5">
        <f>DATA!C37/2</f>
        <v>0</v>
      </c>
      <c r="E21" s="5">
        <f>DATA!D37/2</f>
        <v>0</v>
      </c>
      <c r="F21" s="5">
        <f>DATA!E37/2</f>
        <v>0</v>
      </c>
      <c r="G21" s="5">
        <f>DATA!F37/2</f>
        <v>0</v>
      </c>
      <c r="H21" s="5">
        <f>DATA!G37/2</f>
        <v>0</v>
      </c>
      <c r="I21" s="5">
        <f>DATA!H37/2</f>
        <v>0</v>
      </c>
      <c r="J21" s="5">
        <f>DATA!I37/2</f>
        <v>0</v>
      </c>
      <c r="K21" s="5">
        <f>DATA!J37/2</f>
        <v>0</v>
      </c>
      <c r="L21" s="5">
        <f>DATA!K37/2</f>
        <v>0</v>
      </c>
      <c r="M21" s="5">
        <f>DATA!L37/2</f>
        <v>0</v>
      </c>
      <c r="N21" s="5">
        <f>DATA!M37/2</f>
        <v>0</v>
      </c>
      <c r="O21" s="6">
        <f t="shared" si="2"/>
        <v>4927.5</v>
      </c>
    </row>
    <row r="22" spans="1:15" x14ac:dyDescent="0.25">
      <c r="A22" t="str">
        <f>IncomeStatement_Year1!A25</f>
        <v>Licenses</v>
      </c>
      <c r="B22" s="5">
        <v>0</v>
      </c>
      <c r="C22" s="5">
        <f>DATA!B38/2</f>
        <v>0</v>
      </c>
      <c r="D22" s="5">
        <f>DATA!C38/2</f>
        <v>0</v>
      </c>
      <c r="E22" s="5">
        <f>DATA!D38/2</f>
        <v>0</v>
      </c>
      <c r="F22" s="5">
        <f>DATA!E38/2</f>
        <v>0</v>
      </c>
      <c r="G22" s="5">
        <f>DATA!F38/2</f>
        <v>0</v>
      </c>
      <c r="H22" s="5">
        <f>DATA!G38/2</f>
        <v>0</v>
      </c>
      <c r="I22" s="5">
        <f>DATA!H38/2</f>
        <v>0</v>
      </c>
      <c r="J22" s="5">
        <f>DATA!I38/2</f>
        <v>0</v>
      </c>
      <c r="K22" s="5">
        <f>DATA!J38/2</f>
        <v>0</v>
      </c>
      <c r="L22" s="5">
        <f>DATA!K38/2</f>
        <v>0</v>
      </c>
      <c r="M22" s="5">
        <f>DATA!L38/2</f>
        <v>0</v>
      </c>
      <c r="N22" s="5">
        <f>DATA!M38/2</f>
        <v>0</v>
      </c>
      <c r="O22" s="6">
        <f t="shared" si="2"/>
        <v>0</v>
      </c>
    </row>
    <row r="23" spans="1:15" x14ac:dyDescent="0.25">
      <c r="A23" t="str">
        <f>IncomeStatement_Year1!A26</f>
        <v>Mindbody Transacation Fees</v>
      </c>
      <c r="B23" s="5">
        <v>0</v>
      </c>
      <c r="C23" s="5">
        <f>DATA!B39/2</f>
        <v>150</v>
      </c>
      <c r="D23" s="5">
        <f>DATA!C39/2</f>
        <v>150</v>
      </c>
      <c r="E23" s="5">
        <f>DATA!D39/2</f>
        <v>150</v>
      </c>
      <c r="F23" s="5">
        <f>DATA!E39/2</f>
        <v>150</v>
      </c>
      <c r="G23" s="5">
        <f>DATA!F39/2</f>
        <v>150</v>
      </c>
      <c r="H23" s="5">
        <f>DATA!G39/2</f>
        <v>150</v>
      </c>
      <c r="I23" s="5">
        <f>DATA!H39/2</f>
        <v>150</v>
      </c>
      <c r="J23" s="5">
        <f>DATA!I39/2</f>
        <v>150</v>
      </c>
      <c r="K23" s="5">
        <f>DATA!J39/2</f>
        <v>150</v>
      </c>
      <c r="L23" s="5">
        <f>DATA!K39/2</f>
        <v>150</v>
      </c>
      <c r="M23" s="5">
        <f>DATA!L39/2</f>
        <v>150</v>
      </c>
      <c r="N23" s="5">
        <f>DATA!M39/2</f>
        <v>150</v>
      </c>
      <c r="O23" s="6">
        <f t="shared" si="2"/>
        <v>1800</v>
      </c>
    </row>
    <row r="24" spans="1:15" x14ac:dyDescent="0.25">
      <c r="A24" t="str">
        <f>IncomeStatement_Year1!A27</f>
        <v>Mindbody Software</v>
      </c>
      <c r="B24" s="5">
        <v>0</v>
      </c>
      <c r="C24" s="5">
        <f>DATA!B40/2</f>
        <v>62.5</v>
      </c>
      <c r="D24" s="5">
        <f>DATA!C40/2</f>
        <v>62.5</v>
      </c>
      <c r="E24" s="5">
        <f>DATA!D40/2</f>
        <v>62.5</v>
      </c>
      <c r="F24" s="5">
        <f>DATA!E40/2</f>
        <v>62.5</v>
      </c>
      <c r="G24" s="5">
        <f>DATA!F40/2</f>
        <v>62.5</v>
      </c>
      <c r="H24" s="5">
        <f>DATA!G40/2</f>
        <v>62.5</v>
      </c>
      <c r="I24" s="5">
        <f>DATA!H40/2</f>
        <v>62.5</v>
      </c>
      <c r="J24" s="5">
        <f>DATA!I40/2</f>
        <v>62.5</v>
      </c>
      <c r="K24" s="5">
        <f>DATA!J40/2</f>
        <v>62.5</v>
      </c>
      <c r="L24" s="5">
        <f>DATA!K40/2</f>
        <v>62.5</v>
      </c>
      <c r="M24" s="5">
        <f>DATA!L40/2</f>
        <v>62.5</v>
      </c>
      <c r="N24" s="5">
        <f>DATA!M40/2</f>
        <v>62.5</v>
      </c>
      <c r="O24" s="6">
        <f t="shared" si="2"/>
        <v>750</v>
      </c>
    </row>
    <row r="25" spans="1:15" x14ac:dyDescent="0.25">
      <c r="A25" t="str">
        <f>IncomeStatement_Year1!A28</f>
        <v>Paper Goods</v>
      </c>
      <c r="B25" s="5">
        <v>0</v>
      </c>
      <c r="C25" s="5">
        <f>DATA!B41/2</f>
        <v>25</v>
      </c>
      <c r="D25" s="5">
        <f>DATA!C41/2</f>
        <v>25</v>
      </c>
      <c r="E25" s="5">
        <f>DATA!D41/2</f>
        <v>25</v>
      </c>
      <c r="F25" s="5">
        <f>DATA!E41/2</f>
        <v>25</v>
      </c>
      <c r="G25" s="5">
        <f>DATA!F41/2</f>
        <v>25</v>
      </c>
      <c r="H25" s="5">
        <f>DATA!G41/2</f>
        <v>25</v>
      </c>
      <c r="I25" s="5">
        <f>DATA!H41/2</f>
        <v>25</v>
      </c>
      <c r="J25" s="5">
        <f>DATA!I41/2</f>
        <v>25</v>
      </c>
      <c r="K25" s="5">
        <f>DATA!J41/2</f>
        <v>25</v>
      </c>
      <c r="L25" s="5">
        <f>DATA!K41/2</f>
        <v>25</v>
      </c>
      <c r="M25" s="5">
        <f>DATA!L41/2</f>
        <v>25</v>
      </c>
      <c r="N25" s="5">
        <f>DATA!M41/2</f>
        <v>25</v>
      </c>
      <c r="O25" s="6">
        <f t="shared" si="2"/>
        <v>300</v>
      </c>
    </row>
    <row r="26" spans="1:15" x14ac:dyDescent="0.25">
      <c r="A26" t="str">
        <f>IncomeStatement_Year1!A29</f>
        <v>Rent</v>
      </c>
      <c r="B26" s="5">
        <v>0</v>
      </c>
      <c r="C26" s="5">
        <f>DATA!B42/2</f>
        <v>2437.5</v>
      </c>
      <c r="D26" s="5">
        <f>DATA!C42/2</f>
        <v>2437.5</v>
      </c>
      <c r="E26" s="5">
        <f>DATA!D42/2</f>
        <v>2437.5</v>
      </c>
      <c r="F26" s="5">
        <f>DATA!E42/2</f>
        <v>2437.5</v>
      </c>
      <c r="G26" s="5">
        <f>DATA!F42/2</f>
        <v>2437.5</v>
      </c>
      <c r="H26" s="5">
        <f>DATA!G42/2</f>
        <v>2437.5</v>
      </c>
      <c r="I26" s="5">
        <f>DATA!H42/2</f>
        <v>2437.5</v>
      </c>
      <c r="J26" s="5">
        <f>DATA!I42/2</f>
        <v>2437.5</v>
      </c>
      <c r="K26" s="5">
        <f>DATA!J42/2</f>
        <v>2437.5</v>
      </c>
      <c r="L26" s="5">
        <f>DATA!K42/2</f>
        <v>2437.5</v>
      </c>
      <c r="M26" s="5">
        <f>DATA!L42/2</f>
        <v>2437.5</v>
      </c>
      <c r="N26" s="5">
        <f>DATA!M42/2</f>
        <v>2437.5</v>
      </c>
      <c r="O26" s="6">
        <f t="shared" si="2"/>
        <v>29250</v>
      </c>
    </row>
    <row r="27" spans="1:15" x14ac:dyDescent="0.25">
      <c r="A27" t="str">
        <f>IncomeStatement_Year1!A30</f>
        <v>Tea</v>
      </c>
      <c r="B27" s="5">
        <v>0</v>
      </c>
      <c r="C27" s="5">
        <f>DATA!B43/2</f>
        <v>50</v>
      </c>
      <c r="D27" s="5">
        <f>DATA!C43/2</f>
        <v>50</v>
      </c>
      <c r="E27" s="5">
        <f>DATA!D43/2</f>
        <v>50</v>
      </c>
      <c r="F27" s="5">
        <f>DATA!E43/2</f>
        <v>50</v>
      </c>
      <c r="G27" s="5">
        <f>DATA!F43/2</f>
        <v>50</v>
      </c>
      <c r="H27" s="5">
        <f>DATA!G43/2</f>
        <v>50</v>
      </c>
      <c r="I27" s="5">
        <f>DATA!H43/2</f>
        <v>50</v>
      </c>
      <c r="J27" s="5">
        <f>DATA!I43/2</f>
        <v>50</v>
      </c>
      <c r="K27" s="5">
        <f>DATA!J43/2</f>
        <v>50</v>
      </c>
      <c r="L27" s="5">
        <f>DATA!K43/2</f>
        <v>50</v>
      </c>
      <c r="M27" s="5">
        <f>DATA!L43/2</f>
        <v>50</v>
      </c>
      <c r="N27" s="5">
        <f>DATA!M43/2</f>
        <v>50</v>
      </c>
      <c r="O27" s="6">
        <f t="shared" si="2"/>
        <v>600</v>
      </c>
    </row>
    <row r="28" spans="1:15" x14ac:dyDescent="0.25">
      <c r="A28" t="str">
        <f>IncomeStatement_Year1!A31</f>
        <v>Telephone</v>
      </c>
      <c r="B28" s="5">
        <v>0</v>
      </c>
      <c r="C28" s="5">
        <f>DATA!B44/2</f>
        <v>50</v>
      </c>
      <c r="D28" s="5">
        <f>DATA!C44/2</f>
        <v>50</v>
      </c>
      <c r="E28" s="5">
        <f>DATA!D44/2</f>
        <v>50</v>
      </c>
      <c r="F28" s="5">
        <f>DATA!E44/2</f>
        <v>50</v>
      </c>
      <c r="G28" s="5">
        <f>DATA!F44/2</f>
        <v>50</v>
      </c>
      <c r="H28" s="5">
        <f>DATA!G44/2</f>
        <v>50</v>
      </c>
      <c r="I28" s="5">
        <f>DATA!H44/2</f>
        <v>50</v>
      </c>
      <c r="J28" s="5">
        <f>DATA!I44/2</f>
        <v>50</v>
      </c>
      <c r="K28" s="5">
        <f>DATA!J44/2</f>
        <v>50</v>
      </c>
      <c r="L28" s="5">
        <f>DATA!K44/2</f>
        <v>50</v>
      </c>
      <c r="M28" s="5">
        <f>DATA!L44/2</f>
        <v>50</v>
      </c>
      <c r="N28" s="5">
        <f>DATA!M44/2</f>
        <v>50</v>
      </c>
      <c r="O28" s="6">
        <f t="shared" si="2"/>
        <v>600</v>
      </c>
    </row>
    <row r="29" spans="1:15" x14ac:dyDescent="0.25">
      <c r="A29" t="str">
        <f>IncomeStatement_Year1!A32</f>
        <v>Towel Service</v>
      </c>
      <c r="B29" s="5">
        <v>0</v>
      </c>
      <c r="C29" s="5">
        <f>DATA!B45/2</f>
        <v>150</v>
      </c>
      <c r="D29" s="5">
        <f>DATA!C45/2</f>
        <v>150</v>
      </c>
      <c r="E29" s="5">
        <f>DATA!D45/2</f>
        <v>150</v>
      </c>
      <c r="F29" s="5">
        <f>DATA!E45/2</f>
        <v>150</v>
      </c>
      <c r="G29" s="5">
        <f>DATA!F45/2</f>
        <v>150</v>
      </c>
      <c r="H29" s="5">
        <f>DATA!G45/2</f>
        <v>150</v>
      </c>
      <c r="I29" s="5">
        <f>DATA!H45/2</f>
        <v>150</v>
      </c>
      <c r="J29" s="5">
        <f>DATA!I45/2</f>
        <v>150</v>
      </c>
      <c r="K29" s="5">
        <f>DATA!J45/2</f>
        <v>150</v>
      </c>
      <c r="L29" s="5">
        <f>DATA!K45/2</f>
        <v>150</v>
      </c>
      <c r="M29" s="5">
        <f>DATA!L45/2</f>
        <v>150</v>
      </c>
      <c r="N29" s="5">
        <f>DATA!M45/2</f>
        <v>150</v>
      </c>
      <c r="O29" s="6">
        <f t="shared" si="2"/>
        <v>1800</v>
      </c>
    </row>
    <row r="30" spans="1:15" x14ac:dyDescent="0.25">
      <c r="A30" t="str">
        <f>IncomeStatement_Year1!A33</f>
        <v>Utilities</v>
      </c>
      <c r="B30" s="5">
        <v>0</v>
      </c>
      <c r="C30" s="5">
        <f>DATA!B46/2</f>
        <v>100</v>
      </c>
      <c r="D30" s="5">
        <f>DATA!C46/2</f>
        <v>100</v>
      </c>
      <c r="E30" s="5">
        <f>DATA!D46/2</f>
        <v>100</v>
      </c>
      <c r="F30" s="5">
        <f>DATA!E46/2</f>
        <v>100</v>
      </c>
      <c r="G30" s="5">
        <f>DATA!F46/2</f>
        <v>100</v>
      </c>
      <c r="H30" s="5">
        <f>DATA!G46/2</f>
        <v>100</v>
      </c>
      <c r="I30" s="5">
        <f>DATA!H46/2</f>
        <v>100</v>
      </c>
      <c r="J30" s="5">
        <f>DATA!I46/2</f>
        <v>100</v>
      </c>
      <c r="K30" s="5">
        <f>DATA!J46/2</f>
        <v>100</v>
      </c>
      <c r="L30" s="5">
        <f>DATA!K46/2</f>
        <v>100</v>
      </c>
      <c r="M30" s="5">
        <f>DATA!L46/2</f>
        <v>100</v>
      </c>
      <c r="N30" s="5">
        <f>DATA!M46/2</f>
        <v>100</v>
      </c>
      <c r="O30" s="6">
        <f t="shared" si="2"/>
        <v>1200</v>
      </c>
    </row>
    <row r="31" spans="1:15" x14ac:dyDescent="0.25">
      <c r="A31" t="str">
        <f>IncomeStatement_Year1!A34</f>
        <v>Wifi</v>
      </c>
      <c r="B31" s="5">
        <v>0</v>
      </c>
      <c r="C31" s="5">
        <f>DATA!B47/2</f>
        <v>25</v>
      </c>
      <c r="D31" s="5">
        <f>DATA!C47/2</f>
        <v>25</v>
      </c>
      <c r="E31" s="5">
        <f>DATA!D47/2</f>
        <v>25</v>
      </c>
      <c r="F31" s="5">
        <f>DATA!E47/2</f>
        <v>25</v>
      </c>
      <c r="G31" s="5">
        <f>DATA!F47/2</f>
        <v>25</v>
      </c>
      <c r="H31" s="5">
        <f>DATA!G47/2</f>
        <v>25</v>
      </c>
      <c r="I31" s="5">
        <f>DATA!H47/2</f>
        <v>25</v>
      </c>
      <c r="J31" s="5">
        <f>DATA!I47/2</f>
        <v>25</v>
      </c>
      <c r="K31" s="5">
        <f>DATA!J47/2</f>
        <v>25</v>
      </c>
      <c r="L31" s="5">
        <f>DATA!K47/2</f>
        <v>25</v>
      </c>
      <c r="M31" s="5">
        <f>DATA!L47/2</f>
        <v>25</v>
      </c>
      <c r="N31" s="5">
        <f>DATA!M47/2</f>
        <v>25</v>
      </c>
      <c r="O31" s="6">
        <f t="shared" si="2"/>
        <v>300</v>
      </c>
    </row>
    <row r="32" spans="1:15" x14ac:dyDescent="0.25">
      <c r="A32" t="str">
        <f>IncomeStatement_Year1!A35</f>
        <v>Water</v>
      </c>
      <c r="B32" s="5">
        <v>0</v>
      </c>
      <c r="C32" s="5">
        <f>DATA!B48/2</f>
        <v>12.5</v>
      </c>
      <c r="D32" s="5">
        <f>DATA!C48/2</f>
        <v>12.5</v>
      </c>
      <c r="E32" s="5">
        <f>DATA!D48/2</f>
        <v>12.5</v>
      </c>
      <c r="F32" s="5">
        <f>DATA!E48/2</f>
        <v>12.5</v>
      </c>
      <c r="G32" s="5">
        <f>DATA!F48/2</f>
        <v>12.5</v>
      </c>
      <c r="H32" s="5">
        <f>DATA!G48/2</f>
        <v>12.5</v>
      </c>
      <c r="I32" s="5">
        <f>DATA!H48/2</f>
        <v>12.5</v>
      </c>
      <c r="J32" s="5">
        <f>DATA!I48/2</f>
        <v>12.5</v>
      </c>
      <c r="K32" s="5">
        <f>DATA!J48/2</f>
        <v>12.5</v>
      </c>
      <c r="L32" s="5">
        <f>DATA!K48/2</f>
        <v>12.5</v>
      </c>
      <c r="M32" s="5">
        <f>DATA!L48/2</f>
        <v>12.5</v>
      </c>
      <c r="N32" s="5">
        <f>DATA!M48/2</f>
        <v>12.5</v>
      </c>
      <c r="O32" s="6">
        <f t="shared" si="2"/>
        <v>150</v>
      </c>
    </row>
    <row r="33" spans="1:15" x14ac:dyDescent="0.25">
      <c r="A33" t="s">
        <v>77</v>
      </c>
      <c r="B33" s="5">
        <v>0</v>
      </c>
      <c r="C33" s="5">
        <f>SalaryModule!B12</f>
        <v>0</v>
      </c>
      <c r="D33" s="5">
        <f>SalaryModule!C12</f>
        <v>0</v>
      </c>
      <c r="E33" s="5">
        <f>SalaryModule!D12</f>
        <v>0</v>
      </c>
      <c r="F33" s="5">
        <f>SalaryModule!E12</f>
        <v>0</v>
      </c>
      <c r="G33" s="5">
        <f>SalaryModule!F12</f>
        <v>0</v>
      </c>
      <c r="H33" s="5">
        <f>SalaryModule!G12</f>
        <v>0</v>
      </c>
      <c r="I33" s="5">
        <f>SalaryModule!H12</f>
        <v>0</v>
      </c>
      <c r="J33" s="5">
        <f>SalaryModule!I12</f>
        <v>0</v>
      </c>
      <c r="K33" s="5">
        <f>SalaryModule!J12</f>
        <v>0</v>
      </c>
      <c r="L33" s="5">
        <f>SalaryModule!K12</f>
        <v>0</v>
      </c>
      <c r="M33" s="5">
        <f>SalaryModule!L12</f>
        <v>0</v>
      </c>
      <c r="N33" s="5">
        <f>SalaryModule!M12</f>
        <v>0</v>
      </c>
      <c r="O33" s="6">
        <f t="shared" si="2"/>
        <v>0</v>
      </c>
    </row>
    <row r="34" spans="1:15" x14ac:dyDescent="0.25">
      <c r="A34" t="s">
        <v>78</v>
      </c>
      <c r="B34" s="5">
        <v>0</v>
      </c>
      <c r="C34" s="5">
        <f>LoanModule!D9</f>
        <v>0</v>
      </c>
      <c r="D34" s="5">
        <f>LoanModule!D10</f>
        <v>0</v>
      </c>
      <c r="E34" s="5">
        <f>LoanModule!D11</f>
        <v>0</v>
      </c>
      <c r="F34" s="5">
        <f>LoanModule!D12</f>
        <v>0</v>
      </c>
      <c r="G34" s="5">
        <f>LoanModule!D13</f>
        <v>0</v>
      </c>
      <c r="H34" s="5">
        <f>LoanModule!D14</f>
        <v>0</v>
      </c>
      <c r="I34" s="5">
        <f>LoanModule!D15</f>
        <v>0</v>
      </c>
      <c r="J34" s="5">
        <f>LoanModule!D16</f>
        <v>0</v>
      </c>
      <c r="K34" s="5">
        <f>LoanModule!D17</f>
        <v>0</v>
      </c>
      <c r="L34" s="5">
        <f>LoanModule!D18</f>
        <v>0</v>
      </c>
      <c r="M34" s="5">
        <f>LoanModule!D19</f>
        <v>0</v>
      </c>
      <c r="N34" s="5">
        <f>LoanModule!D20</f>
        <v>0</v>
      </c>
      <c r="O34" s="6">
        <f t="shared" si="2"/>
        <v>0</v>
      </c>
    </row>
    <row r="35" spans="1:15" x14ac:dyDescent="0.25">
      <c r="A35" t="s">
        <v>98</v>
      </c>
      <c r="B35" s="5">
        <v>0</v>
      </c>
      <c r="C35" s="5">
        <f>LoanModule!E9</f>
        <v>0</v>
      </c>
      <c r="D35" s="5">
        <f>LoanModule!E10</f>
        <v>0</v>
      </c>
      <c r="E35" s="5">
        <f>LoanModule!E11</f>
        <v>0</v>
      </c>
      <c r="F35" s="5">
        <f>LoanModule!E12</f>
        <v>0</v>
      </c>
      <c r="G35" s="5">
        <f>LoanModule!E13</f>
        <v>0</v>
      </c>
      <c r="H35" s="5">
        <f>LoanModule!E14</f>
        <v>0</v>
      </c>
      <c r="I35" s="5">
        <f>LoanModule!E15</f>
        <v>0</v>
      </c>
      <c r="J35" s="5">
        <f>LoanModule!E16</f>
        <v>0</v>
      </c>
      <c r="K35" s="5">
        <f>LoanModule!E17</f>
        <v>0</v>
      </c>
      <c r="L35" s="5">
        <f>LoanModule!E18</f>
        <v>0</v>
      </c>
      <c r="M35" s="5">
        <f>LoanModule!E19</f>
        <v>0</v>
      </c>
      <c r="N35" s="5">
        <f>LoanModule!E20</f>
        <v>0</v>
      </c>
      <c r="O35" s="6">
        <f t="shared" si="2"/>
        <v>0</v>
      </c>
    </row>
    <row r="36" spans="1:15" x14ac:dyDescent="0.25">
      <c r="A36" t="s">
        <v>21</v>
      </c>
      <c r="B36" s="5">
        <v>0</v>
      </c>
      <c r="C36" s="5">
        <f>DATA!B31</f>
        <v>0</v>
      </c>
      <c r="D36" s="5">
        <f>DATA!C31</f>
        <v>0</v>
      </c>
      <c r="E36" s="5">
        <f>DATA!D31</f>
        <v>0</v>
      </c>
      <c r="F36" s="5">
        <f>DATA!E31</f>
        <v>0</v>
      </c>
      <c r="G36" s="5">
        <f>DATA!F31</f>
        <v>0</v>
      </c>
      <c r="H36" s="5">
        <f>DATA!G31</f>
        <v>0</v>
      </c>
      <c r="I36" s="5">
        <f>DATA!H31</f>
        <v>0</v>
      </c>
      <c r="J36" s="5">
        <f>DATA!I31</f>
        <v>0</v>
      </c>
      <c r="K36" s="5">
        <f>DATA!J31</f>
        <v>0</v>
      </c>
      <c r="L36" s="5">
        <f>DATA!K31</f>
        <v>0</v>
      </c>
      <c r="M36" s="5">
        <f>DATA!L31</f>
        <v>0</v>
      </c>
      <c r="N36" s="5">
        <f>DATA!M31</f>
        <v>0</v>
      </c>
      <c r="O36" s="6">
        <f t="shared" si="2"/>
        <v>0</v>
      </c>
    </row>
    <row r="37" spans="1:15" x14ac:dyDescent="0.25">
      <c r="A37" t="s">
        <v>99</v>
      </c>
      <c r="B37" s="5">
        <f>SUM(StartupCosts!B3:B4)</f>
        <v>90500</v>
      </c>
      <c r="C37" s="5">
        <f>IF(DATA!E23=C5,DATA!B23,0)+IF(DATA!E26=C5,DATA!B26,0)</f>
        <v>0</v>
      </c>
      <c r="D37" s="5">
        <f>IF(DATA!E23=D5,DATA!B23,0)+IF(DATA!E26=D5,DATA!B26,0)</f>
        <v>0</v>
      </c>
      <c r="E37" s="5">
        <f>IF(DATA!E23=E5,DATA!B23,0)+IF(DATA!E26=E5,DATA!B26,0)</f>
        <v>0</v>
      </c>
      <c r="F37" s="5">
        <f>IF(DATA!E23=F5,DATA!B23,0)+IF(DATA!E26=F5,DATA!B26,0)</f>
        <v>0</v>
      </c>
      <c r="G37" s="5">
        <f>IF(DATA!E23=G5,DATA!B23,0)+IF(DATA!E26=G5,DATA!B26,0)</f>
        <v>0</v>
      </c>
      <c r="H37" s="5">
        <f>IF(DATA!E23=H5,DATA!B23,0)+IF(DATA!E26=H5,DATA!B26,0)</f>
        <v>0</v>
      </c>
      <c r="I37" s="5">
        <f>IF(DATA!E23=I5,DATA!B23,0)+IF(DATA!E26=I5,DATA!B26,0)</f>
        <v>0</v>
      </c>
      <c r="J37" s="5">
        <f>IF(DATA!E23=J5,DATA!B23,0)+IF(DATA!E26=J5,DATA!B26,0)</f>
        <v>0</v>
      </c>
      <c r="K37" s="5">
        <f>IF(DATA!E23=K5,DATA!B23,0)+IF(DATA!E26=K5,DATA!B26,0)</f>
        <v>0</v>
      </c>
      <c r="L37" s="5">
        <f>IF(DATA!E23=L5,DATA!B23,0)+IF(DATA!E26=L5,DATA!B26,0)</f>
        <v>0</v>
      </c>
      <c r="M37" s="5">
        <f>IF(DATA!E23=M5,DATA!B23,0)+IF(DATA!E26=M5,DATA!B26,0)</f>
        <v>0</v>
      </c>
      <c r="N37" s="5">
        <f>IF(DATA!E23=N5,DATA!B23,0)+IF(DATA!E26=N5,DATA!B26,0)</f>
        <v>0</v>
      </c>
      <c r="O37" s="6">
        <f t="shared" si="2"/>
        <v>90500</v>
      </c>
    </row>
    <row r="38" spans="1:15" x14ac:dyDescent="0.25">
      <c r="A38" t="s">
        <v>100</v>
      </c>
      <c r="B38" s="5">
        <v>0</v>
      </c>
      <c r="C38" s="5">
        <f>(DATA!B50*DATA!B56)/2</f>
        <v>0</v>
      </c>
      <c r="D38" s="5">
        <f>((DATA!B50*DATA!B56)/2)+((DATA!B50*DATA!C56)/2)</f>
        <v>0</v>
      </c>
      <c r="E38" s="5">
        <f>((DATA!B50*DATA!C56)/2)+((DATA!B50*DATA!D56)/2)</f>
        <v>0</v>
      </c>
      <c r="F38" s="5">
        <f>((DATA!B50*DATA!D56)/2)+((DATA!B50*DATA!E56)/2)</f>
        <v>0</v>
      </c>
      <c r="G38" s="5">
        <f>((DATA!B50*DATA!E56)/2)+((DATA!B50*DATA!F56)/2)</f>
        <v>0</v>
      </c>
      <c r="H38" s="5">
        <f>((DATA!B50*DATA!F56)/2)+((DATA!B50*DATA!G56)/2)</f>
        <v>0</v>
      </c>
      <c r="I38" s="5">
        <f>((DATA!B50*DATA!G56)/2)+((DATA!B50*DATA!H56)/2)</f>
        <v>0</v>
      </c>
      <c r="J38" s="5">
        <f>((DATA!B50*DATA!H56)/2)+((DATA!B50*DATA!I56)/2)</f>
        <v>0</v>
      </c>
      <c r="K38" s="5">
        <f>((DATA!B50*DATA!I56)/2)+((DATA!B50*DATA!J56)/2)</f>
        <v>0</v>
      </c>
      <c r="L38" s="5">
        <f>((DATA!B50*DATA!J56)/2)+((DATA!B50*DATA!K56)/2)</f>
        <v>0</v>
      </c>
      <c r="M38" s="5">
        <f>((DATA!B50*DATA!K56)/2)+((DATA!B50*DATA!L56)/2)</f>
        <v>0</v>
      </c>
      <c r="N38" s="5">
        <f>((DATA!B50*DATA!L56)/2)+((DATA!B50*DATA!M56)/2)</f>
        <v>0</v>
      </c>
      <c r="O38" s="6">
        <f t="shared" si="2"/>
        <v>0</v>
      </c>
    </row>
    <row r="39" spans="1:15" x14ac:dyDescent="0.25">
      <c r="A39" t="s">
        <v>83</v>
      </c>
      <c r="B39" s="5">
        <v>0</v>
      </c>
      <c r="C39" s="5">
        <f>IncomeStatement_Year1!B44</f>
        <v>0</v>
      </c>
      <c r="D39" s="5">
        <f>IncomeStatement_Year1!C44</f>
        <v>0</v>
      </c>
      <c r="E39" s="5">
        <f>IncomeStatement_Year1!D44</f>
        <v>0</v>
      </c>
      <c r="F39" s="5">
        <f>IncomeStatement_Year1!E44</f>
        <v>0</v>
      </c>
      <c r="G39" s="5">
        <f>IncomeStatement_Year1!F44</f>
        <v>0</v>
      </c>
      <c r="H39" s="5">
        <f>IncomeStatement_Year1!G44</f>
        <v>0</v>
      </c>
      <c r="I39" s="5">
        <f>IncomeStatement_Year1!H44</f>
        <v>0</v>
      </c>
      <c r="J39" s="5">
        <f>IncomeStatement_Year1!I44</f>
        <v>0</v>
      </c>
      <c r="K39" s="5">
        <f>IncomeStatement_Year1!J44</f>
        <v>0</v>
      </c>
      <c r="L39" s="5">
        <f>IncomeStatement_Year1!K44</f>
        <v>0</v>
      </c>
      <c r="M39" s="5">
        <f>IncomeStatement_Year1!L44</f>
        <v>0</v>
      </c>
      <c r="N39" s="5">
        <f>IncomeStatement_Year1!M44</f>
        <v>0</v>
      </c>
      <c r="O39" s="6">
        <f t="shared" si="2"/>
        <v>0</v>
      </c>
    </row>
    <row r="40" spans="1:15" x14ac:dyDescent="0.25">
      <c r="A40" t="s">
        <v>101</v>
      </c>
      <c r="B40" s="5">
        <v>0</v>
      </c>
      <c r="C40" s="5">
        <f>StartupCosts!B5-(IncomeStatement_Year1!B13*DATA!B3)</f>
        <v>750</v>
      </c>
      <c r="D40" s="5">
        <f>IncomeStatement_Year1!B13*DATA!B3-IncomeStatement_Year1!C13*DATA!B3</f>
        <v>-2.5</v>
      </c>
      <c r="E40" s="5">
        <f>IncomeStatement_Year1!C13*DATA!B3-IncomeStatement_Year1!D13*DATA!B3</f>
        <v>-2.5250000000000057</v>
      </c>
      <c r="F40" s="5">
        <f>IncomeStatement_Year1!D13*DATA!B3-IncomeStatement_Year1!E13*DATA!B3</f>
        <v>-2.550249999999977</v>
      </c>
      <c r="G40" s="5">
        <f>IncomeStatement_Year1!E13*DATA!B3-IncomeStatement_Year1!F13*DATA!B3</f>
        <v>-2.5757525000000214</v>
      </c>
      <c r="H40" s="5">
        <f>IncomeStatement_Year1!F13*DATA!B3-IncomeStatement_Year1!G13*DATA!B3</f>
        <v>-2.6015100249999819</v>
      </c>
      <c r="I40" s="5">
        <f>IncomeStatement_Year1!G13*DATA!B3-IncomeStatement_Year1!H13*DATA!B3</f>
        <v>-2.6275251252499743</v>
      </c>
      <c r="J40" s="5">
        <f>IncomeStatement_Year1!H13*DATA!B3-IncomeStatement_Year1!I13*DATA!B3</f>
        <v>-2.6538003765024882</v>
      </c>
      <c r="K40" s="5">
        <f>IncomeStatement_Year1!I13*DATA!B3-IncomeStatement_Year1!J13*DATA!B3</f>
        <v>-2.6803383802675285</v>
      </c>
      <c r="L40" s="5">
        <f>IncomeStatement_Year1!J13*DATA!B3-IncomeStatement_Year1!K13*DATA!B3</f>
        <v>-2.7071417640702293</v>
      </c>
      <c r="M40" s="5">
        <f>IncomeStatement_Year1!K13*DATA!B3-IncomeStatement_Year1!L13*DATA!B3</f>
        <v>-2.7342131817109134</v>
      </c>
      <c r="N40" s="5">
        <f>IncomeStatement_Year1!L13*DATA!B3-IncomeStatement_Year1!M13*DATA!B3</f>
        <v>-2.7615553135279924</v>
      </c>
      <c r="O40" s="6">
        <f t="shared" si="2"/>
        <v>721.08291333367094</v>
      </c>
    </row>
    <row r="41" spans="1:15" x14ac:dyDescent="0.25">
      <c r="A41" s="4" t="s">
        <v>102</v>
      </c>
      <c r="B41" s="8">
        <f t="shared" ref="B41:N41" si="3">SUM(B16:B39)-B40</f>
        <v>90500</v>
      </c>
      <c r="C41" s="8">
        <f t="shared" si="3"/>
        <v>15335.084999999999</v>
      </c>
      <c r="D41" s="8">
        <f t="shared" si="3"/>
        <v>5762.92</v>
      </c>
      <c r="E41" s="8">
        <f t="shared" si="3"/>
        <v>5773.7986699999992</v>
      </c>
      <c r="F41" s="8">
        <f t="shared" si="3"/>
        <v>5785.2550561699991</v>
      </c>
      <c r="G41" s="8">
        <f t="shared" si="3"/>
        <v>5797.3444146011689</v>
      </c>
      <c r="H41" s="8">
        <f t="shared" si="3"/>
        <v>5810.1275039245202</v>
      </c>
      <c r="I41" s="8">
        <f t="shared" si="3"/>
        <v>5823.6711353362807</v>
      </c>
      <c r="J41" s="8">
        <f t="shared" si="3"/>
        <v>5838.0487776235341</v>
      </c>
      <c r="K41" s="8">
        <f t="shared" si="3"/>
        <v>5853.3412226900909</v>
      </c>
      <c r="L41" s="8">
        <f t="shared" si="3"/>
        <v>5869.6373176326551</v>
      </c>
      <c r="M41" s="8">
        <f t="shared" si="3"/>
        <v>5887.0347700222173</v>
      </c>
      <c r="N41" s="8">
        <f t="shared" si="3"/>
        <v>5905.6410337112275</v>
      </c>
      <c r="O41" s="8">
        <f t="shared" si="2"/>
        <v>169941.90490171168</v>
      </c>
    </row>
    <row r="43" spans="1:15" x14ac:dyDescent="0.25">
      <c r="A43" s="4" t="s">
        <v>103</v>
      </c>
      <c r="B43" s="9">
        <f t="shared" ref="B43:N43" si="4">B13-B41</f>
        <v>-90500</v>
      </c>
      <c r="C43" s="9">
        <f t="shared" si="4"/>
        <v>-14543.16</v>
      </c>
      <c r="D43" s="9">
        <f t="shared" si="4"/>
        <v>-4623.2341917233589</v>
      </c>
      <c r="E43" s="9">
        <f t="shared" si="4"/>
        <v>-4272.8710461922428</v>
      </c>
      <c r="F43" s="9">
        <f t="shared" si="4"/>
        <v>-3897.9035504843514</v>
      </c>
      <c r="G43" s="9">
        <f t="shared" si="4"/>
        <v>-3486.4947565936382</v>
      </c>
      <c r="H43" s="9">
        <f t="shared" si="4"/>
        <v>-3026.0795096478205</v>
      </c>
      <c r="I43" s="9">
        <f t="shared" si="4"/>
        <v>-2025.148381654481</v>
      </c>
      <c r="J43" s="9">
        <f t="shared" si="4"/>
        <v>-1483.7155595736394</v>
      </c>
      <c r="K43" s="9">
        <f t="shared" si="4"/>
        <v>-897.91991575099655</v>
      </c>
      <c r="L43" s="9">
        <f t="shared" si="4"/>
        <v>-260.41229804897739</v>
      </c>
      <c r="M43" s="9">
        <f t="shared" si="4"/>
        <v>436.86436018739914</v>
      </c>
      <c r="N43" s="9">
        <f t="shared" si="4"/>
        <v>1202.7812979822174</v>
      </c>
      <c r="O43" s="9">
        <f>SUM(B43:N43)</f>
        <v>-127377.29355149988</v>
      </c>
    </row>
    <row r="45" spans="1:15" x14ac:dyDescent="0.25">
      <c r="A45" s="4" t="s">
        <v>104</v>
      </c>
      <c r="B45" s="6">
        <f>B43</f>
        <v>-90500</v>
      </c>
      <c r="C45" s="6">
        <f t="shared" ref="C45:N45" si="5">B45+C43</f>
        <v>-105043.16</v>
      </c>
      <c r="D45" s="6">
        <f t="shared" si="5"/>
        <v>-109666.39419172336</v>
      </c>
      <c r="E45" s="6">
        <f t="shared" si="5"/>
        <v>-113939.26523791561</v>
      </c>
      <c r="F45" s="6">
        <f t="shared" si="5"/>
        <v>-117837.16878839995</v>
      </c>
      <c r="G45" s="6">
        <f t="shared" si="5"/>
        <v>-121323.66354499359</v>
      </c>
      <c r="H45" s="6">
        <f t="shared" si="5"/>
        <v>-124349.74305464141</v>
      </c>
      <c r="I45" s="6">
        <f t="shared" si="5"/>
        <v>-126374.89143629589</v>
      </c>
      <c r="J45" s="6">
        <f t="shared" si="5"/>
        <v>-127858.60699586953</v>
      </c>
      <c r="K45" s="6">
        <f t="shared" si="5"/>
        <v>-128756.52691162053</v>
      </c>
      <c r="L45" s="6">
        <f t="shared" si="5"/>
        <v>-129016.93920966951</v>
      </c>
      <c r="M45" s="6">
        <f t="shared" si="5"/>
        <v>-128580.0748494821</v>
      </c>
      <c r="N45" s="6">
        <f t="shared" si="5"/>
        <v>-127377.29355149988</v>
      </c>
      <c r="O45" s="6">
        <f>N45</f>
        <v>-127377.29355149988</v>
      </c>
    </row>
    <row r="48" spans="1:15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workbookViewId="0">
      <selection activeCell="C25" sqref="C25"/>
    </sheetView>
  </sheetViews>
  <sheetFormatPr defaultRowHeight="15" x14ac:dyDescent="0.25"/>
  <cols>
    <col min="1" max="1" width="40" bestFit="1" customWidth="1"/>
    <col min="2" max="2" width="10.5703125" bestFit="1" customWidth="1"/>
    <col min="3" max="13" width="11.7109375" bestFit="1" customWidth="1"/>
    <col min="14" max="14" width="8.140625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90</v>
      </c>
    </row>
    <row r="3" spans="1:14" x14ac:dyDescent="0.25">
      <c r="A3" t="s">
        <v>88</v>
      </c>
    </row>
    <row r="5" spans="1:14" x14ac:dyDescent="0.25"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88</v>
      </c>
    </row>
    <row r="7" spans="1:14" x14ac:dyDescent="0.25">
      <c r="A7" s="4" t="s">
        <v>91</v>
      </c>
      <c r="B7" s="5">
        <f>CashFlowStatement_Year1!N7+CashFlowStatement_Year1!N43</f>
        <v>-36877.293551499883</v>
      </c>
      <c r="C7" s="5">
        <f t="shared" ref="C7:M7" si="0">B7+B43</f>
        <v>-41365.9309691651</v>
      </c>
      <c r="D7" s="5">
        <f t="shared" si="0"/>
        <v>-44935.663606939954</v>
      </c>
      <c r="E7" s="5">
        <f t="shared" si="0"/>
        <v>-44236.532493973071</v>
      </c>
      <c r="F7" s="5">
        <f t="shared" si="0"/>
        <v>-42405.273040026266</v>
      </c>
      <c r="G7" s="5">
        <f t="shared" si="0"/>
        <v>-39313.773797818016</v>
      </c>
      <c r="H7" s="5">
        <f t="shared" si="0"/>
        <v>-34817.331645906175</v>
      </c>
      <c r="I7" s="5">
        <f t="shared" si="0"/>
        <v>-28752.678433873931</v>
      </c>
      <c r="J7" s="5">
        <f t="shared" si="0"/>
        <v>-20935.750807185232</v>
      </c>
      <c r="K7" s="5">
        <f t="shared" si="0"/>
        <v>-11159.171177333583</v>
      </c>
      <c r="L7" s="5">
        <f t="shared" si="0"/>
        <v>810.59643404817143</v>
      </c>
      <c r="M7" s="5">
        <f t="shared" si="0"/>
        <v>15236.456736218324</v>
      </c>
      <c r="N7" s="6">
        <f>M7</f>
        <v>15236.456736218324</v>
      </c>
    </row>
    <row r="9" spans="1:14" x14ac:dyDescent="0.25">
      <c r="A9" s="4" t="s">
        <v>92</v>
      </c>
    </row>
    <row r="10" spans="1:14" x14ac:dyDescent="0.25">
      <c r="A10" t="s">
        <v>129</v>
      </c>
      <c r="B10" s="5">
        <f>DATA!N56</f>
        <v>7972.7160536232268</v>
      </c>
      <c r="C10" s="5">
        <f>DATA!O56</f>
        <v>8927.7766193788211</v>
      </c>
      <c r="D10" s="5">
        <f>DATA!P56</f>
        <v>9985.8226056635267</v>
      </c>
      <c r="E10" s="5">
        <f>DATA!Q56</f>
        <v>11160.459494586183</v>
      </c>
      <c r="F10" s="5">
        <f>DATA!R56</f>
        <v>12466.863966470966</v>
      </c>
      <c r="G10" s="5">
        <f>DATA!S56</f>
        <v>13921.990475118953</v>
      </c>
      <c r="H10" s="5">
        <f>DATA!T56</f>
        <v>15544.80308088333</v>
      </c>
      <c r="I10" s="5">
        <f>DATA!U56</f>
        <v>17356.535895913523</v>
      </c>
      <c r="J10" s="5">
        <f>DATA!V56</f>
        <v>19380.985926264286</v>
      </c>
      <c r="K10" s="5">
        <f>DATA!W56</f>
        <v>21644.84258407474</v>
      </c>
      <c r="L10" s="5">
        <f>DATA!X56</f>
        <v>24178.058697460041</v>
      </c>
      <c r="M10" s="5">
        <f>DATA!Y56</f>
        <v>27014.268474955865</v>
      </c>
      <c r="N10" s="6">
        <f>SUM(B10:M10)</f>
        <v>189555.12387439347</v>
      </c>
    </row>
    <row r="11" spans="1:14" x14ac:dyDescent="0.25">
      <c r="A11" t="s">
        <v>65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5">
      <c r="A12" t="s">
        <v>93</v>
      </c>
      <c r="B12" s="5">
        <f>IF(B5=DATA!C18,DATA!B18,0)</f>
        <v>0</v>
      </c>
      <c r="C12" s="5">
        <f>IF(C5=DATA!C18,DATA!B18,0)</f>
        <v>0</v>
      </c>
      <c r="D12" s="5">
        <f>IF(D5=DATA!C18,DATA!B18,0)</f>
        <v>0</v>
      </c>
      <c r="E12" s="5">
        <f>IF(E5=DATA!C18,DATA!B18,0)</f>
        <v>0</v>
      </c>
      <c r="F12" s="5">
        <f>IF(F5=DATA!C18,DATA!B18,0)</f>
        <v>0</v>
      </c>
      <c r="G12" s="5">
        <f>IF(G5=DATA!C18,DATA!B18,0)</f>
        <v>0</v>
      </c>
      <c r="H12" s="5">
        <f>IF(H5=DATA!C18,DATA!B18,0)</f>
        <v>0</v>
      </c>
      <c r="I12" s="5">
        <f>IF(I5=DATA!C18,DATA!B18,0)</f>
        <v>0</v>
      </c>
      <c r="J12" s="5">
        <f>IF(J5=DATA!C18,DATA!B18,0)</f>
        <v>0</v>
      </c>
      <c r="K12" s="5">
        <f>IF(K5=DATA!C18,DATA!B18,0)</f>
        <v>0</v>
      </c>
      <c r="L12" s="5">
        <f>IF(L5=DATA!C18,DATA!B18,0)</f>
        <v>0</v>
      </c>
      <c r="M12" s="5">
        <f>IF(M5=DATA!C18,DATA!B18,0)</f>
        <v>0</v>
      </c>
      <c r="N12" s="6">
        <f>SUM(B12:M12)</f>
        <v>0</v>
      </c>
    </row>
    <row r="13" spans="1:14" x14ac:dyDescent="0.25">
      <c r="A13" s="4" t="s">
        <v>94</v>
      </c>
      <c r="B13" s="8">
        <f t="shared" ref="B13:M13" si="1">SUM(B10:B12)</f>
        <v>7972.7160536232268</v>
      </c>
      <c r="C13" s="8">
        <f t="shared" si="1"/>
        <v>8927.7766193788211</v>
      </c>
      <c r="D13" s="8">
        <f t="shared" si="1"/>
        <v>9985.8226056635267</v>
      </c>
      <c r="E13" s="8">
        <f t="shared" si="1"/>
        <v>11160.459494586183</v>
      </c>
      <c r="F13" s="8">
        <f t="shared" si="1"/>
        <v>12466.863966470966</v>
      </c>
      <c r="G13" s="8">
        <f t="shared" si="1"/>
        <v>13921.990475118953</v>
      </c>
      <c r="H13" s="8">
        <f t="shared" si="1"/>
        <v>15544.80308088333</v>
      </c>
      <c r="I13" s="8">
        <f t="shared" si="1"/>
        <v>17356.535895913523</v>
      </c>
      <c r="J13" s="8">
        <f t="shared" si="1"/>
        <v>19380.985926264286</v>
      </c>
      <c r="K13" s="8">
        <f t="shared" si="1"/>
        <v>21644.84258407474</v>
      </c>
      <c r="L13" s="8">
        <f t="shared" si="1"/>
        <v>24178.058697460041</v>
      </c>
      <c r="M13" s="8">
        <f t="shared" si="1"/>
        <v>27014.268474955865</v>
      </c>
      <c r="N13" s="8">
        <f>SUM(B13:M13)</f>
        <v>189555.12387439347</v>
      </c>
    </row>
    <row r="15" spans="1:14" x14ac:dyDescent="0.25">
      <c r="A15" s="4" t="s">
        <v>95</v>
      </c>
    </row>
    <row r="16" spans="1:14" x14ac:dyDescent="0.25">
      <c r="A16" t="s">
        <v>96</v>
      </c>
      <c r="B16" s="5">
        <f>(DATA!M57/2)+(DATA!N57/2)</f>
        <v>280.31167209966077</v>
      </c>
      <c r="C16" s="5">
        <f>(DATA!N57/2)+(DATA!O57/2)</f>
        <v>283.1147888206574</v>
      </c>
      <c r="D16" s="5">
        <f>(DATA!O57/2)+(DATA!P57/2)</f>
        <v>285.945936708864</v>
      </c>
      <c r="E16" s="5">
        <f>(DATA!P57/2)+(DATA!Q57/2)</f>
        <v>288.80539607595256</v>
      </c>
      <c r="F16" s="5">
        <f>(DATA!Q57/2)+(DATA!R57/2)</f>
        <v>291.69345003671208</v>
      </c>
      <c r="G16" s="5">
        <f>(DATA!R57/2)+(DATA!S57/2)</f>
        <v>294.6103845370792</v>
      </c>
      <c r="H16" s="5">
        <f>(DATA!S57/2)+(DATA!T57/2)</f>
        <v>297.55648838244997</v>
      </c>
      <c r="I16" s="5">
        <f>(DATA!T57/2)+(DATA!U57/2)</f>
        <v>300.53205326627449</v>
      </c>
      <c r="J16" s="5">
        <f>(DATA!U57/2)+(DATA!V57/2)</f>
        <v>303.53737379893721</v>
      </c>
      <c r="K16" s="5">
        <f>(DATA!V57/2)+(DATA!W57/2)</f>
        <v>306.57274753692661</v>
      </c>
      <c r="L16" s="5">
        <f>(DATA!W57/2)+(DATA!X57/2)</f>
        <v>309.63847501229588</v>
      </c>
      <c r="M16" s="5">
        <f>(DATA!X57/2)+(DATA!Y57/2)</f>
        <v>312.73485976241886</v>
      </c>
      <c r="N16" s="6">
        <f t="shared" ref="N16:N41" si="2">SUM(B16:M16)</f>
        <v>3555.0536260382287</v>
      </c>
    </row>
    <row r="17" spans="1:14" x14ac:dyDescent="0.25">
      <c r="A17" t="s">
        <v>97</v>
      </c>
      <c r="B17" s="5">
        <f>(DATA!M58/2)+(DATA!N58/2)</f>
        <v>2367.0520214167154</v>
      </c>
      <c r="C17" s="5">
        <f>(DATA!N58/2)+(DATA!O58/2)</f>
        <v>2369.4190734381318</v>
      </c>
      <c r="D17" s="5">
        <f>(DATA!O58/2)+(DATA!P58/2)</f>
        <v>2371.7884925115695</v>
      </c>
      <c r="E17" s="5">
        <f>(DATA!P58/2)+(DATA!Q58/2)</f>
        <v>2374.1602810040808</v>
      </c>
      <c r="F17" s="5">
        <f>(DATA!Q58/2)+(DATA!R58/2)</f>
        <v>2376.5344412850845</v>
      </c>
      <c r="G17" s="5">
        <f>(DATA!R58/2)+(DATA!S58/2)</f>
        <v>2378.9109757263695</v>
      </c>
      <c r="H17" s="5">
        <f>(DATA!S58/2)+(DATA!T58/2)</f>
        <v>2381.2898867020958</v>
      </c>
      <c r="I17" s="5">
        <f>(DATA!T58/2)+(DATA!U58/2)</f>
        <v>2383.6711765887976</v>
      </c>
      <c r="J17" s="5">
        <f>(DATA!U58/2)+(DATA!V58/2)</f>
        <v>2386.0548477653861</v>
      </c>
      <c r="K17" s="5">
        <f>(DATA!V58/2)+(DATA!W58/2)</f>
        <v>2388.4409026131507</v>
      </c>
      <c r="L17" s="5">
        <f>(DATA!W58/2)+(DATA!X58/2)</f>
        <v>2390.8293435157639</v>
      </c>
      <c r="M17" s="5">
        <f>(DATA!X58/2)+(DATA!Y58/2)</f>
        <v>2393.220172859279</v>
      </c>
      <c r="N17" s="6">
        <f t="shared" si="2"/>
        <v>28561.371615426426</v>
      </c>
    </row>
    <row r="18" spans="1:14" x14ac:dyDescent="0.25">
      <c r="A18" t="str">
        <f>CashFlowStatement_Year1!A18</f>
        <v>Accounting</v>
      </c>
      <c r="B18" s="5">
        <f>(DATA!M34/2)+(DATA!N34/2)</f>
        <v>111.5</v>
      </c>
      <c r="C18" s="5">
        <f>(DATA!N34/2)+(DATA!O34/2)</f>
        <v>112.5</v>
      </c>
      <c r="D18" s="5">
        <f>(DATA!O34/2)+(DATA!P34/2)</f>
        <v>113.5</v>
      </c>
      <c r="E18" s="5">
        <f>(DATA!P34/2)+(DATA!Q34/2)</f>
        <v>114.5</v>
      </c>
      <c r="F18" s="5">
        <f>(DATA!Q34/2)+(DATA!R34/2)</f>
        <v>115.5</v>
      </c>
      <c r="G18" s="5">
        <f>(DATA!R34/2)+(DATA!S34/2)</f>
        <v>116.5</v>
      </c>
      <c r="H18" s="5">
        <f>(DATA!S34/2)+(DATA!T34/2)</f>
        <v>117.5</v>
      </c>
      <c r="I18" s="5">
        <f>(DATA!T34/2)+(DATA!U34/2)</f>
        <v>118.5</v>
      </c>
      <c r="J18" s="5">
        <f>(DATA!U34/2)+(DATA!V34/2)</f>
        <v>119.5</v>
      </c>
      <c r="K18" s="5">
        <f>(DATA!V34/2)+(DATA!W34/2)</f>
        <v>120.5</v>
      </c>
      <c r="L18" s="5">
        <f>(DATA!W34/2)+(DATA!X34/2)</f>
        <v>121.5</v>
      </c>
      <c r="M18" s="5">
        <f>(DATA!X34/2)+(DATA!Y34/2)</f>
        <v>122.5</v>
      </c>
      <c r="N18" s="6">
        <f t="shared" si="2"/>
        <v>1404</v>
      </c>
    </row>
    <row r="19" spans="1:14" x14ac:dyDescent="0.25">
      <c r="A19" t="str">
        <f>CashFlowStatement_Year1!A19</f>
        <v>Advertising</v>
      </c>
      <c r="B19" s="5">
        <f>(DATA!M35/2)+(DATA!N35/2)</f>
        <v>299.57725414155033</v>
      </c>
      <c r="C19" s="5">
        <f>(DATA!N35/2)+(DATA!O35/2)</f>
        <v>329.53497955570538</v>
      </c>
      <c r="D19" s="5">
        <f>(DATA!O35/2)+(DATA!P35/2)</f>
        <v>362.48847751127596</v>
      </c>
      <c r="E19" s="5">
        <f>(DATA!P35/2)+(DATA!Q35/2)</f>
        <v>398.73732526240354</v>
      </c>
      <c r="F19" s="5">
        <f>(DATA!Q35/2)+(DATA!R35/2)</f>
        <v>438.61105778864396</v>
      </c>
      <c r="G19" s="5">
        <f>(DATA!R35/2)+(DATA!S35/2)</f>
        <v>482.47216356750835</v>
      </c>
      <c r="H19" s="5">
        <f>(DATA!S35/2)+(DATA!T35/2)</f>
        <v>530.71937992425921</v>
      </c>
      <c r="I19" s="5">
        <f>(DATA!T35/2)+(DATA!U35/2)</f>
        <v>583.79131791668522</v>
      </c>
      <c r="J19" s="5">
        <f>(DATA!U35/2)+(DATA!V35/2)</f>
        <v>642.17044970835377</v>
      </c>
      <c r="K19" s="5">
        <f>(DATA!V35/2)+(DATA!W35/2)</f>
        <v>706.3874946791891</v>
      </c>
      <c r="L19" s="5">
        <f>(DATA!W35/2)+(DATA!X35/2)</f>
        <v>777.02624414710817</v>
      </c>
      <c r="M19" s="5">
        <f>(DATA!X35/2)+(DATA!Y35/2)</f>
        <v>854.72886856181901</v>
      </c>
      <c r="N19" s="6">
        <f t="shared" si="2"/>
        <v>6406.2450127645025</v>
      </c>
    </row>
    <row r="20" spans="1:14" x14ac:dyDescent="0.25">
      <c r="A20" t="str">
        <f>CashFlowStatement_Year1!A20</f>
        <v>Insurance</v>
      </c>
      <c r="B20" s="5">
        <f>(DATA!M36/2)+(DATA!N36/2)</f>
        <v>3250</v>
      </c>
      <c r="C20" s="5">
        <f>(DATA!N36/2)+(DATA!O36/2)</f>
        <v>3250</v>
      </c>
      <c r="D20" s="5">
        <f>(DATA!O36/2)+(DATA!P36/2)</f>
        <v>0</v>
      </c>
      <c r="E20" s="5">
        <f>(DATA!P36/2)+(DATA!Q36/2)</f>
        <v>0</v>
      </c>
      <c r="F20" s="5">
        <f>(DATA!Q36/2)+(DATA!R36/2)</f>
        <v>0</v>
      </c>
      <c r="G20" s="5">
        <f>(DATA!R36/2)+(DATA!S36/2)</f>
        <v>0</v>
      </c>
      <c r="H20" s="5">
        <f>(DATA!S36/2)+(DATA!T36/2)</f>
        <v>0</v>
      </c>
      <c r="I20" s="5">
        <f>(DATA!T36/2)+(DATA!U36/2)</f>
        <v>0</v>
      </c>
      <c r="J20" s="5">
        <f>(DATA!U36/2)+(DATA!V36/2)</f>
        <v>0</v>
      </c>
      <c r="K20" s="5">
        <f>(DATA!V36/2)+(DATA!W36/2)</f>
        <v>0</v>
      </c>
      <c r="L20" s="5">
        <f>(DATA!W36/2)+(DATA!X36/2)</f>
        <v>0</v>
      </c>
      <c r="M20" s="5">
        <f>(DATA!X36/2)+(DATA!Y36/2)</f>
        <v>0</v>
      </c>
      <c r="N20" s="6">
        <f t="shared" si="2"/>
        <v>6500</v>
      </c>
    </row>
    <row r="21" spans="1:14" x14ac:dyDescent="0.25">
      <c r="A21" t="str">
        <f>CashFlowStatement_Year1!A21</f>
        <v>Legal/Professional Services</v>
      </c>
      <c r="B21" s="5">
        <f>(DATA!M37/2)+(DATA!N37/2)</f>
        <v>0</v>
      </c>
      <c r="C21" s="5">
        <f>(DATA!N37/2)+(DATA!O37/2)</f>
        <v>0</v>
      </c>
      <c r="D21" s="5">
        <f>(DATA!O37/2)+(DATA!P37/2)</f>
        <v>0</v>
      </c>
      <c r="E21" s="5">
        <f>(DATA!P37/2)+(DATA!Q37/2)</f>
        <v>0</v>
      </c>
      <c r="F21" s="5">
        <f>(DATA!Q37/2)+(DATA!R37/2)</f>
        <v>0</v>
      </c>
      <c r="G21" s="5">
        <f>(DATA!R37/2)+(DATA!S37/2)</f>
        <v>0</v>
      </c>
      <c r="H21" s="5">
        <f>(DATA!S37/2)+(DATA!T37/2)</f>
        <v>0</v>
      </c>
      <c r="I21" s="5">
        <f>(DATA!T37/2)+(DATA!U37/2)</f>
        <v>0</v>
      </c>
      <c r="J21" s="5">
        <f>(DATA!U37/2)+(DATA!V37/2)</f>
        <v>0</v>
      </c>
      <c r="K21" s="5">
        <f>(DATA!V37/2)+(DATA!W37/2)</f>
        <v>0</v>
      </c>
      <c r="L21" s="5">
        <f>(DATA!W37/2)+(DATA!X37/2)</f>
        <v>0</v>
      </c>
      <c r="M21" s="5">
        <f>(DATA!X37/2)+(DATA!Y37/2)</f>
        <v>0</v>
      </c>
      <c r="N21" s="6">
        <f t="shared" si="2"/>
        <v>0</v>
      </c>
    </row>
    <row r="22" spans="1:14" x14ac:dyDescent="0.25">
      <c r="A22" t="str">
        <f>CashFlowStatement_Year1!A22</f>
        <v>Licenses</v>
      </c>
      <c r="B22" s="5">
        <f>(DATA!M38/2)+(DATA!N38/2)</f>
        <v>0</v>
      </c>
      <c r="C22" s="5">
        <f>(DATA!N38/2)+(DATA!O38/2)</f>
        <v>0</v>
      </c>
      <c r="D22" s="5">
        <f>(DATA!O38/2)+(DATA!P38/2)</f>
        <v>0</v>
      </c>
      <c r="E22" s="5">
        <f>(DATA!P38/2)+(DATA!Q38/2)</f>
        <v>0</v>
      </c>
      <c r="F22" s="5">
        <f>(DATA!Q38/2)+(DATA!R38/2)</f>
        <v>0</v>
      </c>
      <c r="G22" s="5">
        <f>(DATA!R38/2)+(DATA!S38/2)</f>
        <v>0</v>
      </c>
      <c r="H22" s="5">
        <f>(DATA!S38/2)+(DATA!T38/2)</f>
        <v>0</v>
      </c>
      <c r="I22" s="5">
        <f>(DATA!T38/2)+(DATA!U38/2)</f>
        <v>0</v>
      </c>
      <c r="J22" s="5">
        <f>(DATA!U38/2)+(DATA!V38/2)</f>
        <v>0</v>
      </c>
      <c r="K22" s="5">
        <f>(DATA!V38/2)+(DATA!W38/2)</f>
        <v>0</v>
      </c>
      <c r="L22" s="5">
        <f>(DATA!W38/2)+(DATA!X38/2)</f>
        <v>0</v>
      </c>
      <c r="M22" s="5">
        <f>(DATA!X38/2)+(DATA!Y38/2)</f>
        <v>0</v>
      </c>
      <c r="N22" s="6">
        <f t="shared" si="2"/>
        <v>0</v>
      </c>
    </row>
    <row r="23" spans="1:14" x14ac:dyDescent="0.25">
      <c r="A23" t="str">
        <f>CashFlowStatement_Year1!A23</f>
        <v>Mindbody Transacation Fees</v>
      </c>
      <c r="B23" s="5">
        <f>(DATA!M39/2)+(DATA!N39/2)</f>
        <v>300</v>
      </c>
      <c r="C23" s="5">
        <f>(DATA!N39/2)+(DATA!O39/2)</f>
        <v>300</v>
      </c>
      <c r="D23" s="5">
        <f>(DATA!O39/2)+(DATA!P39/2)</f>
        <v>300</v>
      </c>
      <c r="E23" s="5">
        <f>(DATA!P39/2)+(DATA!Q39/2)</f>
        <v>300</v>
      </c>
      <c r="F23" s="5">
        <f>(DATA!Q39/2)+(DATA!R39/2)</f>
        <v>300</v>
      </c>
      <c r="G23" s="5">
        <f>(DATA!R39/2)+(DATA!S39/2)</f>
        <v>300</v>
      </c>
      <c r="H23" s="5">
        <f>(DATA!S39/2)+(DATA!T39/2)</f>
        <v>300</v>
      </c>
      <c r="I23" s="5">
        <f>(DATA!T39/2)+(DATA!U39/2)</f>
        <v>300</v>
      </c>
      <c r="J23" s="5">
        <f>(DATA!U39/2)+(DATA!V39/2)</f>
        <v>300</v>
      </c>
      <c r="K23" s="5">
        <f>(DATA!V39/2)+(DATA!W39/2)</f>
        <v>300</v>
      </c>
      <c r="L23" s="5">
        <f>(DATA!W39/2)+(DATA!X39/2)</f>
        <v>300</v>
      </c>
      <c r="M23" s="5">
        <f>(DATA!X39/2)+(DATA!Y39/2)</f>
        <v>300</v>
      </c>
      <c r="N23" s="6">
        <f t="shared" si="2"/>
        <v>3600</v>
      </c>
    </row>
    <row r="24" spans="1:14" x14ac:dyDescent="0.25">
      <c r="A24" t="str">
        <f>CashFlowStatement_Year1!A24</f>
        <v>Mindbody Software</v>
      </c>
      <c r="B24" s="5">
        <f>(DATA!M40/2)+(DATA!N40/2)</f>
        <v>125</v>
      </c>
      <c r="C24" s="5">
        <f>(DATA!N40/2)+(DATA!O40/2)</f>
        <v>125</v>
      </c>
      <c r="D24" s="5">
        <f>(DATA!O40/2)+(DATA!P40/2)</f>
        <v>125</v>
      </c>
      <c r="E24" s="5">
        <f>(DATA!P40/2)+(DATA!Q40/2)</f>
        <v>125</v>
      </c>
      <c r="F24" s="5">
        <f>(DATA!Q40/2)+(DATA!R40/2)</f>
        <v>125</v>
      </c>
      <c r="G24" s="5">
        <f>(DATA!R40/2)+(DATA!S40/2)</f>
        <v>125</v>
      </c>
      <c r="H24" s="5">
        <f>(DATA!S40/2)+(DATA!T40/2)</f>
        <v>125</v>
      </c>
      <c r="I24" s="5">
        <f>(DATA!T40/2)+(DATA!U40/2)</f>
        <v>125</v>
      </c>
      <c r="J24" s="5">
        <f>(DATA!U40/2)+(DATA!V40/2)</f>
        <v>125</v>
      </c>
      <c r="K24" s="5">
        <f>(DATA!V40/2)+(DATA!W40/2)</f>
        <v>125</v>
      </c>
      <c r="L24" s="5">
        <f>(DATA!W40/2)+(DATA!X40/2)</f>
        <v>125</v>
      </c>
      <c r="M24" s="5">
        <f>(DATA!X40/2)+(DATA!Y40/2)</f>
        <v>125</v>
      </c>
      <c r="N24" s="6">
        <f t="shared" si="2"/>
        <v>1500</v>
      </c>
    </row>
    <row r="25" spans="1:14" x14ac:dyDescent="0.25">
      <c r="A25" t="str">
        <f>CashFlowStatement_Year1!A25</f>
        <v>Paper Goods</v>
      </c>
      <c r="B25" s="5">
        <f>(DATA!M41/2)+(DATA!N41/2)</f>
        <v>50</v>
      </c>
      <c r="C25" s="5">
        <f>(DATA!N41/2)+(DATA!O41/2)</f>
        <v>50</v>
      </c>
      <c r="D25" s="5">
        <f>(DATA!O41/2)+(DATA!P41/2)</f>
        <v>50</v>
      </c>
      <c r="E25" s="5">
        <f>(DATA!P41/2)+(DATA!Q41/2)</f>
        <v>50</v>
      </c>
      <c r="F25" s="5">
        <f>(DATA!Q41/2)+(DATA!R41/2)</f>
        <v>50</v>
      </c>
      <c r="G25" s="5">
        <f>(DATA!R41/2)+(DATA!S41/2)</f>
        <v>50</v>
      </c>
      <c r="H25" s="5">
        <f>(DATA!S41/2)+(DATA!T41/2)</f>
        <v>50</v>
      </c>
      <c r="I25" s="5">
        <f>(DATA!T41/2)+(DATA!U41/2)</f>
        <v>50</v>
      </c>
      <c r="J25" s="5">
        <f>(DATA!U41/2)+(DATA!V41/2)</f>
        <v>50</v>
      </c>
      <c r="K25" s="5">
        <f>(DATA!V41/2)+(DATA!W41/2)</f>
        <v>50</v>
      </c>
      <c r="L25" s="5">
        <f>(DATA!W41/2)+(DATA!X41/2)</f>
        <v>50</v>
      </c>
      <c r="M25" s="5">
        <f>(DATA!X41/2)+(DATA!Y41/2)</f>
        <v>50</v>
      </c>
      <c r="N25" s="6">
        <f t="shared" si="2"/>
        <v>600</v>
      </c>
    </row>
    <row r="26" spans="1:14" x14ac:dyDescent="0.25">
      <c r="A26" t="str">
        <f>CashFlowStatement_Year1!A26</f>
        <v>Rent</v>
      </c>
      <c r="B26" s="5">
        <f>(DATA!M42/2)+(DATA!N42/2)</f>
        <v>4875</v>
      </c>
      <c r="C26" s="5">
        <f>(DATA!N42/2)+(DATA!O42/2)</f>
        <v>4875</v>
      </c>
      <c r="D26" s="5">
        <f>(DATA!O42/2)+(DATA!P42/2)</f>
        <v>4875</v>
      </c>
      <c r="E26" s="5">
        <f>(DATA!P42/2)+(DATA!Q42/2)</f>
        <v>4875</v>
      </c>
      <c r="F26" s="5">
        <f>(DATA!Q42/2)+(DATA!R42/2)</f>
        <v>4875</v>
      </c>
      <c r="G26" s="5">
        <f>(DATA!R42/2)+(DATA!S42/2)</f>
        <v>4875</v>
      </c>
      <c r="H26" s="5">
        <f>(DATA!S42/2)+(DATA!T42/2)</f>
        <v>4875</v>
      </c>
      <c r="I26" s="5">
        <f>(DATA!T42/2)+(DATA!U42/2)</f>
        <v>4875</v>
      </c>
      <c r="J26" s="5">
        <f>(DATA!U42/2)+(DATA!V42/2)</f>
        <v>4875</v>
      </c>
      <c r="K26" s="5">
        <f>(DATA!V42/2)+(DATA!W42/2)</f>
        <v>4875</v>
      </c>
      <c r="L26" s="5">
        <f>(DATA!W42/2)+(DATA!X42/2)</f>
        <v>4875</v>
      </c>
      <c r="M26" s="5">
        <f>(DATA!X42/2)+(DATA!Y42/2)</f>
        <v>4875</v>
      </c>
      <c r="N26" s="6">
        <f t="shared" si="2"/>
        <v>58500</v>
      </c>
    </row>
    <row r="27" spans="1:14" x14ac:dyDescent="0.25">
      <c r="A27" t="str">
        <f>CashFlowStatement_Year1!A27</f>
        <v>Tea</v>
      </c>
      <c r="B27" s="5">
        <f>(DATA!M43/2)+(DATA!N43/2)</f>
        <v>100</v>
      </c>
      <c r="C27" s="5">
        <f>(DATA!N43/2)+(DATA!O43/2)</f>
        <v>100</v>
      </c>
      <c r="D27" s="5">
        <f>(DATA!O43/2)+(DATA!P43/2)</f>
        <v>100</v>
      </c>
      <c r="E27" s="5">
        <f>(DATA!P43/2)+(DATA!Q43/2)</f>
        <v>100</v>
      </c>
      <c r="F27" s="5">
        <f>(DATA!Q43/2)+(DATA!R43/2)</f>
        <v>100</v>
      </c>
      <c r="G27" s="5">
        <f>(DATA!R43/2)+(DATA!S43/2)</f>
        <v>100</v>
      </c>
      <c r="H27" s="5">
        <f>(DATA!S43/2)+(DATA!T43/2)</f>
        <v>100</v>
      </c>
      <c r="I27" s="5">
        <f>(DATA!T43/2)+(DATA!U43/2)</f>
        <v>100</v>
      </c>
      <c r="J27" s="5">
        <f>(DATA!U43/2)+(DATA!V43/2)</f>
        <v>100</v>
      </c>
      <c r="K27" s="5">
        <f>(DATA!V43/2)+(DATA!W43/2)</f>
        <v>100</v>
      </c>
      <c r="L27" s="5">
        <f>(DATA!W43/2)+(DATA!X43/2)</f>
        <v>100</v>
      </c>
      <c r="M27" s="5">
        <f>(DATA!X43/2)+(DATA!Y43/2)</f>
        <v>100</v>
      </c>
      <c r="N27" s="6">
        <f t="shared" si="2"/>
        <v>1200</v>
      </c>
    </row>
    <row r="28" spans="1:14" x14ac:dyDescent="0.25">
      <c r="A28" t="str">
        <f>CashFlowStatement_Year1!A28</f>
        <v>Telephone</v>
      </c>
      <c r="B28" s="5">
        <f>(DATA!M44/2)+(DATA!N44/2)</f>
        <v>100</v>
      </c>
      <c r="C28" s="5">
        <f>(DATA!N44/2)+(DATA!O44/2)</f>
        <v>100</v>
      </c>
      <c r="D28" s="5">
        <f>(DATA!O44/2)+(DATA!P44/2)</f>
        <v>100</v>
      </c>
      <c r="E28" s="5">
        <f>(DATA!P44/2)+(DATA!Q44/2)</f>
        <v>100</v>
      </c>
      <c r="F28" s="5">
        <f>(DATA!Q44/2)+(DATA!R44/2)</f>
        <v>100</v>
      </c>
      <c r="G28" s="5">
        <f>(DATA!R44/2)+(DATA!S44/2)</f>
        <v>100</v>
      </c>
      <c r="H28" s="5">
        <f>(DATA!S44/2)+(DATA!T44/2)</f>
        <v>100</v>
      </c>
      <c r="I28" s="5">
        <f>(DATA!T44/2)+(DATA!U44/2)</f>
        <v>100</v>
      </c>
      <c r="J28" s="5">
        <f>(DATA!U44/2)+(DATA!V44/2)</f>
        <v>100</v>
      </c>
      <c r="K28" s="5">
        <f>(DATA!V44/2)+(DATA!W44/2)</f>
        <v>100</v>
      </c>
      <c r="L28" s="5">
        <f>(DATA!W44/2)+(DATA!X44/2)</f>
        <v>100</v>
      </c>
      <c r="M28" s="5">
        <f>(DATA!X44/2)+(DATA!Y44/2)</f>
        <v>100</v>
      </c>
      <c r="N28" s="6">
        <f t="shared" si="2"/>
        <v>1200</v>
      </c>
    </row>
    <row r="29" spans="1:14" x14ac:dyDescent="0.25">
      <c r="A29" t="str">
        <f>CashFlowStatement_Year1!A29</f>
        <v>Towel Service</v>
      </c>
      <c r="B29" s="5">
        <f>(DATA!M45/2)+(DATA!N45/2)</f>
        <v>300</v>
      </c>
      <c r="C29" s="5">
        <f>(DATA!N45/2)+(DATA!O45/2)</f>
        <v>300</v>
      </c>
      <c r="D29" s="5">
        <f>(DATA!O45/2)+(DATA!P45/2)</f>
        <v>300</v>
      </c>
      <c r="E29" s="5">
        <f>(DATA!P45/2)+(DATA!Q45/2)</f>
        <v>300</v>
      </c>
      <c r="F29" s="5">
        <f>(DATA!Q45/2)+(DATA!R45/2)</f>
        <v>300</v>
      </c>
      <c r="G29" s="5">
        <f>(DATA!R45/2)+(DATA!S45/2)</f>
        <v>300</v>
      </c>
      <c r="H29" s="5">
        <f>(DATA!S45/2)+(DATA!T45/2)</f>
        <v>300</v>
      </c>
      <c r="I29" s="5">
        <f>(DATA!T45/2)+(DATA!U45/2)</f>
        <v>300</v>
      </c>
      <c r="J29" s="5">
        <f>(DATA!U45/2)+(DATA!V45/2)</f>
        <v>300</v>
      </c>
      <c r="K29" s="5">
        <f>(DATA!V45/2)+(DATA!W45/2)</f>
        <v>300</v>
      </c>
      <c r="L29" s="5">
        <f>(DATA!W45/2)+(DATA!X45/2)</f>
        <v>300</v>
      </c>
      <c r="M29" s="5">
        <f>(DATA!X45/2)+(DATA!Y45/2)</f>
        <v>300</v>
      </c>
      <c r="N29" s="6">
        <f t="shared" si="2"/>
        <v>3600</v>
      </c>
    </row>
    <row r="30" spans="1:14" x14ac:dyDescent="0.25">
      <c r="A30" t="str">
        <f>CashFlowStatement_Year1!A30</f>
        <v>Utilities</v>
      </c>
      <c r="B30" s="5">
        <f>(DATA!M46/2)+(DATA!N46/2)</f>
        <v>200</v>
      </c>
      <c r="C30" s="5">
        <f>(DATA!N46/2)+(DATA!O46/2)</f>
        <v>200</v>
      </c>
      <c r="D30" s="5">
        <f>(DATA!O46/2)+(DATA!P46/2)</f>
        <v>200</v>
      </c>
      <c r="E30" s="5">
        <f>(DATA!P46/2)+(DATA!Q46/2)</f>
        <v>200</v>
      </c>
      <c r="F30" s="5">
        <f>(DATA!Q46/2)+(DATA!R46/2)</f>
        <v>200</v>
      </c>
      <c r="G30" s="5">
        <f>(DATA!R46/2)+(DATA!S46/2)</f>
        <v>200</v>
      </c>
      <c r="H30" s="5">
        <f>(DATA!S46/2)+(DATA!T46/2)</f>
        <v>200</v>
      </c>
      <c r="I30" s="5">
        <f>(DATA!T46/2)+(DATA!U46/2)</f>
        <v>200</v>
      </c>
      <c r="J30" s="5">
        <f>(DATA!U46/2)+(DATA!V46/2)</f>
        <v>200</v>
      </c>
      <c r="K30" s="5">
        <f>(DATA!V46/2)+(DATA!W46/2)</f>
        <v>200</v>
      </c>
      <c r="L30" s="5">
        <f>(DATA!W46/2)+(DATA!X46/2)</f>
        <v>200</v>
      </c>
      <c r="M30" s="5">
        <f>(DATA!X46/2)+(DATA!Y46/2)</f>
        <v>200</v>
      </c>
      <c r="N30" s="6">
        <f t="shared" si="2"/>
        <v>2400</v>
      </c>
    </row>
    <row r="31" spans="1:14" x14ac:dyDescent="0.25">
      <c r="A31" t="str">
        <f>CashFlowStatement_Year1!A31</f>
        <v>Wifi</v>
      </c>
      <c r="B31" s="5">
        <f>(DATA!M47/2)+(DATA!N47/2)</f>
        <v>50</v>
      </c>
      <c r="C31" s="5">
        <f>(DATA!N47/2)+(DATA!O47/2)</f>
        <v>50</v>
      </c>
      <c r="D31" s="5">
        <f>(DATA!O47/2)+(DATA!P47/2)</f>
        <v>50</v>
      </c>
      <c r="E31" s="5">
        <f>(DATA!P47/2)+(DATA!Q47/2)</f>
        <v>50</v>
      </c>
      <c r="F31" s="5">
        <f>(DATA!Q47/2)+(DATA!R47/2)</f>
        <v>50</v>
      </c>
      <c r="G31" s="5">
        <f>(DATA!R47/2)+(DATA!S47/2)</f>
        <v>50</v>
      </c>
      <c r="H31" s="5">
        <f>(DATA!S47/2)+(DATA!T47/2)</f>
        <v>50</v>
      </c>
      <c r="I31" s="5">
        <f>(DATA!T47/2)+(DATA!U47/2)</f>
        <v>50</v>
      </c>
      <c r="J31" s="5">
        <f>(DATA!U47/2)+(DATA!V47/2)</f>
        <v>50</v>
      </c>
      <c r="K31" s="5">
        <f>(DATA!V47/2)+(DATA!W47/2)</f>
        <v>50</v>
      </c>
      <c r="L31" s="5">
        <f>(DATA!W47/2)+(DATA!X47/2)</f>
        <v>50</v>
      </c>
      <c r="M31" s="5">
        <f>(DATA!X47/2)+(DATA!Y47/2)</f>
        <v>50</v>
      </c>
      <c r="N31" s="6">
        <f t="shared" si="2"/>
        <v>600</v>
      </c>
    </row>
    <row r="32" spans="1:14" x14ac:dyDescent="0.25">
      <c r="A32" t="str">
        <f>CashFlowStatement_Year1!A32</f>
        <v>Water</v>
      </c>
      <c r="B32" s="5">
        <f>(DATA!M48/2)+(DATA!N48/2)</f>
        <v>25</v>
      </c>
      <c r="C32" s="5">
        <f>(DATA!N48/2)+(DATA!O48/2)</f>
        <v>25</v>
      </c>
      <c r="D32" s="5">
        <f>(DATA!O48/2)+(DATA!P48/2)</f>
        <v>25</v>
      </c>
      <c r="E32" s="5">
        <f>(DATA!P48/2)+(DATA!Q48/2)</f>
        <v>25</v>
      </c>
      <c r="F32" s="5">
        <f>(DATA!Q48/2)+(DATA!R48/2)</f>
        <v>25</v>
      </c>
      <c r="G32" s="5">
        <f>(DATA!R48/2)+(DATA!S48/2)</f>
        <v>25</v>
      </c>
      <c r="H32" s="5">
        <f>(DATA!S48/2)+(DATA!T48/2)</f>
        <v>25</v>
      </c>
      <c r="I32" s="5">
        <f>(DATA!T48/2)+(DATA!U48/2)</f>
        <v>25</v>
      </c>
      <c r="J32" s="5">
        <f>(DATA!U48/2)+(DATA!V48/2)</f>
        <v>25</v>
      </c>
      <c r="K32" s="5">
        <f>(DATA!V48/2)+(DATA!W48/2)</f>
        <v>25</v>
      </c>
      <c r="L32" s="5">
        <f>(DATA!W48/2)+(DATA!X48/2)</f>
        <v>25</v>
      </c>
      <c r="M32" s="5">
        <f>(DATA!X48/2)+(DATA!Y48/2)</f>
        <v>25</v>
      </c>
      <c r="N32" s="6">
        <f t="shared" si="2"/>
        <v>300</v>
      </c>
    </row>
    <row r="33" spans="1:14" x14ac:dyDescent="0.25">
      <c r="A33" t="s">
        <v>77</v>
      </c>
      <c r="B33" s="5">
        <f>SalaryModule!N12</f>
        <v>0</v>
      </c>
      <c r="C33" s="5">
        <f>SalaryModule!O12</f>
        <v>0</v>
      </c>
      <c r="D33" s="5">
        <f>SalaryModule!P12</f>
        <v>0</v>
      </c>
      <c r="E33" s="5">
        <f>SalaryModule!Q12</f>
        <v>0</v>
      </c>
      <c r="F33" s="5">
        <f>SalaryModule!R12</f>
        <v>0</v>
      </c>
      <c r="G33" s="5">
        <f>SalaryModule!S12</f>
        <v>0</v>
      </c>
      <c r="H33" s="5">
        <f>SalaryModule!T12</f>
        <v>0</v>
      </c>
      <c r="I33" s="5">
        <f>SalaryModule!U12</f>
        <v>0</v>
      </c>
      <c r="J33" s="5">
        <f>SalaryModule!V12</f>
        <v>0</v>
      </c>
      <c r="K33" s="5">
        <f>SalaryModule!W12</f>
        <v>0</v>
      </c>
      <c r="L33" s="5">
        <f>SalaryModule!X12</f>
        <v>0</v>
      </c>
      <c r="M33" s="5">
        <f>SalaryModule!Y12</f>
        <v>0</v>
      </c>
      <c r="N33" s="6">
        <f t="shared" si="2"/>
        <v>0</v>
      </c>
    </row>
    <row r="34" spans="1:14" x14ac:dyDescent="0.25">
      <c r="A34" t="s">
        <v>78</v>
      </c>
      <c r="B34" s="5">
        <f>LoanModule!D21</f>
        <v>0</v>
      </c>
      <c r="C34" s="5">
        <f>LoanModule!D22</f>
        <v>0</v>
      </c>
      <c r="D34" s="5">
        <f>LoanModule!D23</f>
        <v>0</v>
      </c>
      <c r="E34" s="5">
        <f>LoanModule!D24</f>
        <v>0</v>
      </c>
      <c r="F34" s="5">
        <f>LoanModule!D25</f>
        <v>0</v>
      </c>
      <c r="G34" s="5">
        <f>LoanModule!D26</f>
        <v>0</v>
      </c>
      <c r="H34" s="5">
        <f>LoanModule!D27</f>
        <v>0</v>
      </c>
      <c r="I34" s="5">
        <f>LoanModule!D28</f>
        <v>0</v>
      </c>
      <c r="J34" s="5">
        <f>LoanModule!D29</f>
        <v>0</v>
      </c>
      <c r="K34" s="5">
        <f>LoanModule!D30</f>
        <v>0</v>
      </c>
      <c r="L34" s="5">
        <f>LoanModule!D31</f>
        <v>0</v>
      </c>
      <c r="M34" s="5">
        <f>LoanModule!D32</f>
        <v>0</v>
      </c>
      <c r="N34" s="6">
        <f t="shared" si="2"/>
        <v>0</v>
      </c>
    </row>
    <row r="35" spans="1:14" x14ac:dyDescent="0.25">
      <c r="A35" t="s">
        <v>98</v>
      </c>
      <c r="B35" s="5">
        <f>LoanModule!E21</f>
        <v>0</v>
      </c>
      <c r="C35" s="5">
        <f>LoanModule!E22</f>
        <v>0</v>
      </c>
      <c r="D35" s="5">
        <f>LoanModule!E23</f>
        <v>0</v>
      </c>
      <c r="E35" s="5">
        <f>LoanModule!E24</f>
        <v>0</v>
      </c>
      <c r="F35" s="5">
        <f>LoanModule!E25</f>
        <v>0</v>
      </c>
      <c r="G35" s="5">
        <f>LoanModule!E26</f>
        <v>0</v>
      </c>
      <c r="H35" s="5">
        <f>LoanModule!E27</f>
        <v>0</v>
      </c>
      <c r="I35" s="5">
        <f>LoanModule!E28</f>
        <v>0</v>
      </c>
      <c r="J35" s="5">
        <f>LoanModule!E29</f>
        <v>0</v>
      </c>
      <c r="K35" s="5">
        <f>LoanModule!E30</f>
        <v>0</v>
      </c>
      <c r="L35" s="5">
        <f>LoanModule!E31</f>
        <v>0</v>
      </c>
      <c r="M35" s="5">
        <f>LoanModule!E32</f>
        <v>0</v>
      </c>
      <c r="N35" s="6">
        <f t="shared" si="2"/>
        <v>0</v>
      </c>
    </row>
    <row r="36" spans="1:14" x14ac:dyDescent="0.25">
      <c r="A36" t="s">
        <v>21</v>
      </c>
      <c r="B36" s="5">
        <f>DATA!N31</f>
        <v>0</v>
      </c>
      <c r="C36" s="5">
        <f>DATA!O31</f>
        <v>0</v>
      </c>
      <c r="D36" s="5">
        <f>DATA!P31</f>
        <v>0</v>
      </c>
      <c r="E36" s="5">
        <f>DATA!Q31</f>
        <v>0</v>
      </c>
      <c r="F36" s="5">
        <f>DATA!R31</f>
        <v>0</v>
      </c>
      <c r="G36" s="5">
        <f>DATA!S31</f>
        <v>0</v>
      </c>
      <c r="H36" s="5">
        <f>DATA!T31</f>
        <v>0</v>
      </c>
      <c r="I36" s="5">
        <f>DATA!U31</f>
        <v>0</v>
      </c>
      <c r="J36" s="5">
        <f>DATA!V31</f>
        <v>0</v>
      </c>
      <c r="K36" s="5">
        <f>DATA!W31</f>
        <v>0</v>
      </c>
      <c r="L36" s="5">
        <f>DATA!X31</f>
        <v>0</v>
      </c>
      <c r="M36" s="5">
        <f>DATA!Y31</f>
        <v>0</v>
      </c>
      <c r="N36" s="6">
        <f t="shared" si="2"/>
        <v>0</v>
      </c>
    </row>
    <row r="37" spans="1:14" x14ac:dyDescent="0.25">
      <c r="A37" t="s">
        <v>99</v>
      </c>
      <c r="B37" s="5">
        <f>IF(DATA!E23=B5,DATA!B23,0)+IF(DATA!E26=B5,DATA!B26,0)</f>
        <v>0</v>
      </c>
      <c r="C37" s="5">
        <f>IF(DATA!E23=C5,DATA!B23,0)+IF(DATA!E26=C5,DATA!B26,0)</f>
        <v>0</v>
      </c>
      <c r="D37" s="5">
        <f>IF(DATA!E23=D5,DATA!B23,0)+IF(DATA!E26=D5,DATA!B26,0)</f>
        <v>0</v>
      </c>
      <c r="E37" s="5">
        <f>IF(DATA!E23=E5,DATA!B23,0)+IF(DATA!E26=E5,DATA!B26,0)</f>
        <v>0</v>
      </c>
      <c r="F37" s="5">
        <f>IF(DATA!E23=F5,DATA!B23,0)+IF(DATA!E26=F5,DATA!B26,0)</f>
        <v>0</v>
      </c>
      <c r="G37" s="5">
        <f>IF(DATA!E23=G5,DATA!B23,0)+IF(DATA!E26=G5,DATA!B26,0)</f>
        <v>0</v>
      </c>
      <c r="H37" s="5">
        <f>IF(DATA!E23=H5,DATA!B23,0)+IF(DATA!E26=H5,DATA!B26,0)</f>
        <v>0</v>
      </c>
      <c r="I37" s="5">
        <f>IF(DATA!E23=I5,DATA!B23,0)+IF(DATA!E26=I5,DATA!B26,0)</f>
        <v>0</v>
      </c>
      <c r="J37" s="5">
        <f>IF(DATA!E23=J5,DATA!B23,0)+IF(DATA!E26=J5,DATA!B26,0)</f>
        <v>0</v>
      </c>
      <c r="K37" s="5">
        <f>IF(DATA!E23=K5,DATA!B23,0)+IF(DATA!E26=K5,DATA!B26,0)</f>
        <v>0</v>
      </c>
      <c r="L37" s="5">
        <f>IF(DATA!E23=L5,DATA!B23,0)+IF(DATA!E26=L5,DATA!B26,0)</f>
        <v>0</v>
      </c>
      <c r="M37" s="5">
        <f>IF(DATA!E23=M5,DATA!B23,0)+IF(DATA!E26=M5,DATA!B26,0)</f>
        <v>0</v>
      </c>
      <c r="N37" s="6">
        <f t="shared" si="2"/>
        <v>0</v>
      </c>
    </row>
    <row r="38" spans="1:14" x14ac:dyDescent="0.25">
      <c r="A38" t="s">
        <v>100</v>
      </c>
      <c r="B38" s="5">
        <f>((DATA!B50*DATA!M56)/2)+((DATA!B50*DATA!N56)/2)</f>
        <v>0</v>
      </c>
      <c r="C38" s="5">
        <f>((DATA!B50*DATA!N56)/2)+((DATA!B50*DATA!O56)/2)</f>
        <v>0</v>
      </c>
      <c r="D38" s="5">
        <f>((DATA!B50*DATA!O56)/2)+((DATA!B50*DATA!P56)/2)</f>
        <v>0</v>
      </c>
      <c r="E38" s="5">
        <f>((DATA!B50*DATA!P56)/2)+((DATA!B50*DATA!Q56)/2)</f>
        <v>0</v>
      </c>
      <c r="F38" s="5">
        <f>((DATA!B50*DATA!Q56)/2)+((DATA!B50*DATA!R56)/2)</f>
        <v>0</v>
      </c>
      <c r="G38" s="5">
        <f>((DATA!B50*DATA!R56)/2)+((DATA!B50*DATA!S56)/2)</f>
        <v>0</v>
      </c>
      <c r="H38" s="5">
        <f>((DATA!B50*DATA!S56)/2)+((DATA!B50*DATA!T56)/2)</f>
        <v>0</v>
      </c>
      <c r="I38" s="5">
        <f>((DATA!B50*DATA!T56)/2)+((DATA!B50*DATA!U56)/2)</f>
        <v>0</v>
      </c>
      <c r="J38" s="5">
        <f>((DATA!B50*DATA!U56)/2)+((DATA!B50*DATA!V56)/2)</f>
        <v>0</v>
      </c>
      <c r="K38" s="5">
        <f>((DATA!B50*DATA!V56)/2)+((DATA!B50*DATA!W56)/2)</f>
        <v>0</v>
      </c>
      <c r="L38" s="5">
        <f>((DATA!B50*DATA!W56)/2)+((DATA!B50*DATA!X56)/2)</f>
        <v>0</v>
      </c>
      <c r="M38" s="5">
        <f>((DATA!B50*DATA!X56)/2)+((DATA!B50*DATA!Y56)/2)</f>
        <v>0</v>
      </c>
      <c r="N38" s="6">
        <f t="shared" si="2"/>
        <v>0</v>
      </c>
    </row>
    <row r="39" spans="1:14" x14ac:dyDescent="0.25">
      <c r="A39" t="s">
        <v>83</v>
      </c>
      <c r="B39" s="5">
        <f>IncomeStatement_Year2!B44</f>
        <v>25.123352763850221</v>
      </c>
      <c r="C39" s="5">
        <f>IncomeStatement_Year2!C44</f>
        <v>25.123352763850221</v>
      </c>
      <c r="D39" s="5">
        <f>IncomeStatement_Year2!D44</f>
        <v>25.123352763850221</v>
      </c>
      <c r="E39" s="5">
        <f>IncomeStatement_Year2!E44</f>
        <v>25.123352763850221</v>
      </c>
      <c r="F39" s="5">
        <f>IncomeStatement_Year2!F44</f>
        <v>25.123352763850221</v>
      </c>
      <c r="G39" s="5">
        <f>IncomeStatement_Year2!G44</f>
        <v>25.123352763850221</v>
      </c>
      <c r="H39" s="5">
        <f>IncomeStatement_Year2!H44</f>
        <v>25.123352763850221</v>
      </c>
      <c r="I39" s="5">
        <f>IncomeStatement_Year2!I44</f>
        <v>25.123352763850221</v>
      </c>
      <c r="J39" s="5">
        <f>IncomeStatement_Year2!J44</f>
        <v>25.123352763850221</v>
      </c>
      <c r="K39" s="5">
        <f>IncomeStatement_Year2!K44</f>
        <v>25.123352763850221</v>
      </c>
      <c r="L39" s="5">
        <f>IncomeStatement_Year2!L44</f>
        <v>25.123352763850221</v>
      </c>
      <c r="M39" s="5">
        <f>IncomeStatement_Year2!M44</f>
        <v>25.123352763850221</v>
      </c>
      <c r="N39" s="6">
        <f t="shared" si="2"/>
        <v>301.48023316620265</v>
      </c>
    </row>
    <row r="40" spans="1:14" x14ac:dyDescent="0.25">
      <c r="A40" t="s">
        <v>101</v>
      </c>
      <c r="B40" s="5">
        <f>IncomeStatement_Year1!M13*DATA!B3-IncomeStatement_Year2!B13*DATA!B3</f>
        <v>-2.7891708666633122</v>
      </c>
      <c r="C40" s="5">
        <f>IncomeStatement_Year2!B13*DATA!B3-IncomeStatement_Year2!C13*DATA!B3</f>
        <v>-2.8170625753299419</v>
      </c>
      <c r="D40" s="5">
        <f>IncomeStatement_Year2!C13*DATA!B3-IncomeStatement_Year2!D13*DATA!B3</f>
        <v>-2.8452332010832038</v>
      </c>
      <c r="E40" s="5">
        <f>IncomeStatement_Year2!D13*DATA!B3-IncomeStatement_Year2!E13*DATA!B3</f>
        <v>-2.873685533094033</v>
      </c>
      <c r="F40" s="5">
        <f>IncomeStatement_Year2!E13*DATA!B3-IncomeStatement_Year2!F13*DATA!B3</f>
        <v>-2.9024223884250091</v>
      </c>
      <c r="G40" s="5">
        <f>IncomeStatement_Year2!F13*DATA!B3-IncomeStatement_Year2!G13*DATA!B3</f>
        <v>-2.9314466123092302</v>
      </c>
      <c r="H40" s="5">
        <f>IncomeStatement_Year2!G13*DATA!B3-IncomeStatement_Year2!H13*DATA!B3</f>
        <v>-2.9607610784323128</v>
      </c>
      <c r="I40" s="5">
        <f>IncomeStatement_Year2!H13*DATA!B3-IncomeStatement_Year2!I13*DATA!B3</f>
        <v>-2.9903686892166661</v>
      </c>
      <c r="J40" s="5">
        <f>IncomeStatement_Year2!I13*DATA!B3-IncomeStatement_Year2!J13*DATA!B3</f>
        <v>-3.020272376108835</v>
      </c>
      <c r="K40" s="5">
        <f>IncomeStatement_Year2!J13*DATA!B3-IncomeStatement_Year2!K13*DATA!B3</f>
        <v>-3.0504750998699137</v>
      </c>
      <c r="L40" s="5">
        <f>IncomeStatement_Year2!K13*DATA!B3-IncomeStatement_Year2!L13*DATA!B3</f>
        <v>-3.0809798508686299</v>
      </c>
      <c r="M40" s="5">
        <f>IncomeStatement_Year2!L13*DATA!B3-IncomeStatement_Year2!M13*DATA!B3</f>
        <v>-3.1117896493773287</v>
      </c>
      <c r="N40" s="6">
        <f t="shared" si="2"/>
        <v>-35.373667920778416</v>
      </c>
    </row>
    <row r="41" spans="1:14" x14ac:dyDescent="0.25">
      <c r="A41" s="4" t="s">
        <v>102</v>
      </c>
      <c r="B41" s="8">
        <f t="shared" ref="B41:M41" si="3">SUM(B16:B39)-B40</f>
        <v>12461.353471288441</v>
      </c>
      <c r="C41" s="8">
        <f t="shared" si="3"/>
        <v>12497.509257153675</v>
      </c>
      <c r="D41" s="8">
        <f t="shared" si="3"/>
        <v>9286.6914926966438</v>
      </c>
      <c r="E41" s="8">
        <f t="shared" si="3"/>
        <v>9329.2000406393818</v>
      </c>
      <c r="F41" s="8">
        <f t="shared" si="3"/>
        <v>9375.3647242627158</v>
      </c>
      <c r="G41" s="8">
        <f t="shared" si="3"/>
        <v>9425.5483232071165</v>
      </c>
      <c r="H41" s="8">
        <f t="shared" si="3"/>
        <v>9480.1498688510874</v>
      </c>
      <c r="I41" s="8">
        <f t="shared" si="3"/>
        <v>9539.6082692248237</v>
      </c>
      <c r="J41" s="8">
        <f t="shared" si="3"/>
        <v>9604.4062964126369</v>
      </c>
      <c r="K41" s="8">
        <f t="shared" si="3"/>
        <v>9675.0749726929862</v>
      </c>
      <c r="L41" s="8">
        <f t="shared" si="3"/>
        <v>9752.1983952898881</v>
      </c>
      <c r="M41" s="8">
        <f t="shared" si="3"/>
        <v>9836.4190435967448</v>
      </c>
      <c r="N41" s="8">
        <f t="shared" si="2"/>
        <v>120263.52415531615</v>
      </c>
    </row>
    <row r="43" spans="1:14" x14ac:dyDescent="0.25">
      <c r="A43" s="4" t="s">
        <v>103</v>
      </c>
      <c r="B43" s="9">
        <f t="shared" ref="B43:M43" si="4">B13-B41</f>
        <v>-4488.6374176652143</v>
      </c>
      <c r="C43" s="9">
        <f t="shared" si="4"/>
        <v>-3569.7326377748541</v>
      </c>
      <c r="D43" s="9">
        <f t="shared" si="4"/>
        <v>699.13111296688294</v>
      </c>
      <c r="E43" s="9">
        <f t="shared" si="4"/>
        <v>1831.2594539468009</v>
      </c>
      <c r="F43" s="9">
        <f t="shared" si="4"/>
        <v>3091.4992422082505</v>
      </c>
      <c r="G43" s="9">
        <f t="shared" si="4"/>
        <v>4496.4421519118368</v>
      </c>
      <c r="H43" s="9">
        <f t="shared" si="4"/>
        <v>6064.6532120322427</v>
      </c>
      <c r="I43" s="9">
        <f t="shared" si="4"/>
        <v>7816.9276266886991</v>
      </c>
      <c r="J43" s="9">
        <f t="shared" si="4"/>
        <v>9776.5796298516489</v>
      </c>
      <c r="K43" s="9">
        <f t="shared" si="4"/>
        <v>11969.767611381754</v>
      </c>
      <c r="L43" s="9">
        <f t="shared" si="4"/>
        <v>14425.860302170153</v>
      </c>
      <c r="M43" s="9">
        <f t="shared" si="4"/>
        <v>17177.849431359122</v>
      </c>
      <c r="N43" s="9">
        <f>SUM(B43:M43)</f>
        <v>69291.59971907732</v>
      </c>
    </row>
    <row r="45" spans="1:14" x14ac:dyDescent="0.25">
      <c r="A45" s="4" t="s">
        <v>104</v>
      </c>
      <c r="B45" s="6">
        <f>B43</f>
        <v>-4488.6374176652143</v>
      </c>
      <c r="C45" s="6">
        <f t="shared" ref="C45:M45" si="5">B45+C43</f>
        <v>-8058.3700554400684</v>
      </c>
      <c r="D45" s="6">
        <f t="shared" si="5"/>
        <v>-7359.2389424731855</v>
      </c>
      <c r="E45" s="6">
        <f t="shared" si="5"/>
        <v>-5527.9794885263846</v>
      </c>
      <c r="F45" s="6">
        <f t="shared" si="5"/>
        <v>-2436.480246318134</v>
      </c>
      <c r="G45" s="6">
        <f t="shared" si="5"/>
        <v>2059.9619055937028</v>
      </c>
      <c r="H45" s="6">
        <f t="shared" si="5"/>
        <v>8124.6151176259455</v>
      </c>
      <c r="I45" s="6">
        <f t="shared" si="5"/>
        <v>15941.542744314644</v>
      </c>
      <c r="J45" s="6">
        <f t="shared" si="5"/>
        <v>25718.122374166291</v>
      </c>
      <c r="K45" s="6">
        <f t="shared" si="5"/>
        <v>37687.889985548041</v>
      </c>
      <c r="L45" s="6">
        <f t="shared" si="5"/>
        <v>52113.750287718198</v>
      </c>
      <c r="M45" s="6">
        <f t="shared" si="5"/>
        <v>69291.59971907732</v>
      </c>
      <c r="N45" s="6">
        <f>M45</f>
        <v>69291.59971907732</v>
      </c>
    </row>
    <row r="48" spans="1:14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5" workbookViewId="0">
      <selection activeCell="E25" sqref="E25"/>
    </sheetView>
  </sheetViews>
  <sheetFormatPr defaultRowHeight="15" x14ac:dyDescent="0.25"/>
  <cols>
    <col min="1" max="1" width="40" bestFit="1" customWidth="1"/>
    <col min="2" max="2" width="10.5703125" bestFit="1" customWidth="1"/>
    <col min="3" max="13" width="11.7109375" bestFit="1" customWidth="1"/>
    <col min="14" max="14" width="9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90</v>
      </c>
    </row>
    <row r="3" spans="1:14" x14ac:dyDescent="0.25">
      <c r="A3" t="s">
        <v>89</v>
      </c>
    </row>
    <row r="5" spans="1:14" x14ac:dyDescent="0.25"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89</v>
      </c>
    </row>
    <row r="7" spans="1:14" x14ac:dyDescent="0.25">
      <c r="A7" s="4" t="s">
        <v>91</v>
      </c>
      <c r="B7" s="5">
        <f>CashFlowStatement_Year2!M7+CashFlowStatement_Year2!M43</f>
        <v>32414.306167577444</v>
      </c>
      <c r="C7" s="5">
        <f t="shared" ref="C7:M7" si="0">B7+B43</f>
        <v>49038.583870867682</v>
      </c>
      <c r="D7" s="5">
        <f t="shared" si="0"/>
        <v>69122.496542773937</v>
      </c>
      <c r="E7" s="5">
        <f t="shared" si="0"/>
        <v>96337.611773321056</v>
      </c>
      <c r="F7" s="5">
        <f t="shared" si="0"/>
        <v>127908.26886940269</v>
      </c>
      <c r="G7" s="5">
        <f t="shared" si="0"/>
        <v>164368.20709045714</v>
      </c>
      <c r="H7" s="5">
        <f t="shared" si="0"/>
        <v>206318.0462694203</v>
      </c>
      <c r="I7" s="5">
        <f t="shared" si="0"/>
        <v>254433.73043119963</v>
      </c>
      <c r="J7" s="5">
        <f t="shared" si="0"/>
        <v>309476.05965960887</v>
      </c>
      <c r="K7" s="5">
        <f t="shared" si="0"/>
        <v>372301.45206121379</v>
      </c>
      <c r="L7" s="5">
        <f t="shared" si="0"/>
        <v>443874.09649718128</v>
      </c>
      <c r="M7" s="5">
        <f t="shared" si="0"/>
        <v>525279.67810490855</v>
      </c>
      <c r="N7" s="6">
        <f>M7</f>
        <v>525279.67810490855</v>
      </c>
    </row>
    <row r="9" spans="1:14" x14ac:dyDescent="0.25">
      <c r="A9" s="4" t="s">
        <v>92</v>
      </c>
    </row>
    <row r="10" spans="1:14" x14ac:dyDescent="0.25">
      <c r="A10" t="s">
        <v>129</v>
      </c>
      <c r="B10" s="5">
        <f>DATA!Z56</f>
        <v>30191.258595361302</v>
      </c>
      <c r="C10" s="5">
        <f>DATA!AA56</f>
        <v>33751.499404071219</v>
      </c>
      <c r="D10" s="5">
        <f>DATA!AB56</f>
        <v>37742.744116485133</v>
      </c>
      <c r="E10" s="5">
        <f>DATA!AC56</f>
        <v>42218.704972628009</v>
      </c>
      <c r="F10" s="5">
        <f>DATA!AD56</f>
        <v>47239.816471568651</v>
      </c>
      <c r="G10" s="5">
        <f>DATA!AE56</f>
        <v>52874.097158746183</v>
      </c>
      <c r="H10" s="5">
        <f>DATA!AF56</f>
        <v>59198.122965742783</v>
      </c>
      <c r="I10" s="5">
        <f>DATA!AG56</f>
        <v>66298.126835218063</v>
      </c>
      <c r="J10" s="5">
        <f>DATA!AH56</f>
        <v>74271.241331938276</v>
      </c>
      <c r="K10" s="5">
        <f>DATA!AI56</f>
        <v>83226.903176307038</v>
      </c>
      <c r="L10" s="5">
        <f>DATA!AJ56</f>
        <v>93288.441176221997</v>
      </c>
      <c r="M10" s="5">
        <f>DATA!AK56</f>
        <v>104594.87191823294</v>
      </c>
      <c r="N10" s="6">
        <f>SUM(B10:M10)</f>
        <v>724895.82812252152</v>
      </c>
    </row>
    <row r="11" spans="1:14" x14ac:dyDescent="0.25">
      <c r="A11" t="s">
        <v>65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5">
      <c r="A12" t="s">
        <v>93</v>
      </c>
      <c r="B12" s="5">
        <f>IF(B5=DATA!C18,DATA!B18,0)</f>
        <v>0</v>
      </c>
      <c r="C12" s="5">
        <f>IF(C5=DATA!C18,DATA!B18,0)</f>
        <v>0</v>
      </c>
      <c r="D12" s="5">
        <f>IF(D5=DATA!C18,DATA!B18,0)</f>
        <v>0</v>
      </c>
      <c r="E12" s="5">
        <f>IF(E5=DATA!C18,DATA!B18,0)</f>
        <v>0</v>
      </c>
      <c r="F12" s="5">
        <f>IF(F5=DATA!C18,DATA!B18,0)</f>
        <v>0</v>
      </c>
      <c r="G12" s="5">
        <f>IF(G5=DATA!C18,DATA!B18,0)</f>
        <v>0</v>
      </c>
      <c r="H12" s="5">
        <f>IF(H5=DATA!C18,DATA!B18,0)</f>
        <v>0</v>
      </c>
      <c r="I12" s="5">
        <f>IF(I5=DATA!C18,DATA!B18,0)</f>
        <v>0</v>
      </c>
      <c r="J12" s="5">
        <f>IF(J5=DATA!C18,DATA!B18,0)</f>
        <v>0</v>
      </c>
      <c r="K12" s="5">
        <f>IF(K5=DATA!C18,DATA!B18,0)</f>
        <v>0</v>
      </c>
      <c r="L12" s="5">
        <f>IF(L5=DATA!C18,DATA!B18,0)</f>
        <v>0</v>
      </c>
      <c r="M12" s="5">
        <f>IF(M5=DATA!C18,DATA!B18,0)</f>
        <v>0</v>
      </c>
      <c r="N12" s="6">
        <f>SUM(B12:M12)</f>
        <v>0</v>
      </c>
    </row>
    <row r="13" spans="1:14" x14ac:dyDescent="0.25">
      <c r="A13" s="4" t="s">
        <v>94</v>
      </c>
      <c r="B13" s="8">
        <f t="shared" ref="B13:M13" si="1">SUM(B10:B12)</f>
        <v>30191.258595361302</v>
      </c>
      <c r="C13" s="8">
        <f t="shared" si="1"/>
        <v>33751.499404071219</v>
      </c>
      <c r="D13" s="8">
        <f t="shared" si="1"/>
        <v>37742.744116485133</v>
      </c>
      <c r="E13" s="8">
        <f t="shared" si="1"/>
        <v>42218.704972628009</v>
      </c>
      <c r="F13" s="8">
        <f t="shared" si="1"/>
        <v>47239.816471568651</v>
      </c>
      <c r="G13" s="8">
        <f t="shared" si="1"/>
        <v>52874.097158746183</v>
      </c>
      <c r="H13" s="8">
        <f t="shared" si="1"/>
        <v>59198.122965742783</v>
      </c>
      <c r="I13" s="8">
        <f t="shared" si="1"/>
        <v>66298.126835218063</v>
      </c>
      <c r="J13" s="8">
        <f t="shared" si="1"/>
        <v>74271.241331938276</v>
      </c>
      <c r="K13" s="8">
        <f t="shared" si="1"/>
        <v>83226.903176307038</v>
      </c>
      <c r="L13" s="8">
        <f t="shared" si="1"/>
        <v>93288.441176221997</v>
      </c>
      <c r="M13" s="8">
        <f t="shared" si="1"/>
        <v>104594.87191823294</v>
      </c>
      <c r="N13" s="8">
        <f>SUM(B13:M13)</f>
        <v>724895.82812252152</v>
      </c>
    </row>
    <row r="15" spans="1:14" x14ac:dyDescent="0.25">
      <c r="A15" s="4" t="s">
        <v>95</v>
      </c>
    </row>
    <row r="16" spans="1:14" x14ac:dyDescent="0.25">
      <c r="A16" t="s">
        <v>96</v>
      </c>
      <c r="B16" s="5">
        <f>(DATA!Y57/2)+(DATA!Z57/2)</f>
        <v>315.86220836004304</v>
      </c>
      <c r="C16" s="5">
        <f>(DATA!Z57/2)+(DATA!AA57/2)</f>
        <v>319.02083044364349</v>
      </c>
      <c r="D16" s="5">
        <f>(DATA!AA57/2)+(DATA!AB57/2)</f>
        <v>322.21103874808</v>
      </c>
      <c r="E16" s="5">
        <f>(DATA!AB57/2)+(DATA!AC57/2)</f>
        <v>325.43314913556077</v>
      </c>
      <c r="F16" s="5">
        <f>(DATA!AC57/2)+(DATA!AD57/2)</f>
        <v>328.68748062691634</v>
      </c>
      <c r="G16" s="5">
        <f>(DATA!AD57/2)+(DATA!AE57/2)</f>
        <v>331.97435543318556</v>
      </c>
      <c r="H16" s="5">
        <f>(DATA!AE57/2)+(DATA!AF57/2)</f>
        <v>335.29409898751737</v>
      </c>
      <c r="I16" s="5">
        <f>(DATA!AF57/2)+(DATA!AG57/2)</f>
        <v>338.64703997739258</v>
      </c>
      <c r="J16" s="5">
        <f>(DATA!AG57/2)+(DATA!AH57/2)</f>
        <v>342.03351037716652</v>
      </c>
      <c r="K16" s="5">
        <f>(DATA!AH57/2)+(DATA!AI57/2)</f>
        <v>345.45384548093818</v>
      </c>
      <c r="L16" s="5">
        <f>(DATA!AI57/2)+(DATA!AJ57/2)</f>
        <v>348.90838393574762</v>
      </c>
      <c r="M16" s="5">
        <f>(DATA!AJ57/2)+(DATA!AK57/2)</f>
        <v>352.39746777510516</v>
      </c>
      <c r="N16" s="6">
        <f t="shared" ref="N16:N41" si="2">SUM(B16:M16)</f>
        <v>4005.9234092812967</v>
      </c>
    </row>
    <row r="17" spans="1:14" x14ac:dyDescent="0.25">
      <c r="A17" t="s">
        <v>97</v>
      </c>
      <c r="B17" s="5">
        <f>(DATA!Y58/2)+(DATA!Z58/2)</f>
        <v>2395.613393032138</v>
      </c>
      <c r="C17" s="5">
        <f>(DATA!Z58/2)+(DATA!AA58/2)</f>
        <v>2398.0090064251699</v>
      </c>
      <c r="D17" s="5">
        <f>(DATA!AA58/2)+(DATA!AB58/2)</f>
        <v>2400.407015431595</v>
      </c>
      <c r="E17" s="5">
        <f>(DATA!AB58/2)+(DATA!AC58/2)</f>
        <v>2402.8074224470261</v>
      </c>
      <c r="F17" s="5">
        <f>(DATA!AC58/2)+(DATA!AD58/2)</f>
        <v>2405.2102298694726</v>
      </c>
      <c r="G17" s="5">
        <f>(DATA!AD58/2)+(DATA!AE58/2)</f>
        <v>2407.6154400993419</v>
      </c>
      <c r="H17" s="5">
        <f>(DATA!AE58/2)+(DATA!AF58/2)</f>
        <v>2410.023055539441</v>
      </c>
      <c r="I17" s="5">
        <f>(DATA!AF58/2)+(DATA!AG58/2)</f>
        <v>2412.4330785949796</v>
      </c>
      <c r="J17" s="5">
        <f>(DATA!AG58/2)+(DATA!AH58/2)</f>
        <v>2414.8455116735745</v>
      </c>
      <c r="K17" s="5">
        <f>(DATA!AH58/2)+(DATA!AI58/2)</f>
        <v>2417.2603571852478</v>
      </c>
      <c r="L17" s="5">
        <f>(DATA!AI58/2)+(DATA!AJ58/2)</f>
        <v>2419.6776175424329</v>
      </c>
      <c r="M17" s="5">
        <f>(DATA!AJ58/2)+(DATA!AK58/2)</f>
        <v>2422.0972951599751</v>
      </c>
      <c r="N17" s="6">
        <f t="shared" si="2"/>
        <v>28905.999423000394</v>
      </c>
    </row>
    <row r="18" spans="1:14" x14ac:dyDescent="0.25">
      <c r="A18" t="str">
        <f>CashFlowStatement_Year2!A18</f>
        <v>Accounting</v>
      </c>
      <c r="B18" s="5">
        <f>(DATA!Y34/2)+(DATA!Z34/2)</f>
        <v>123.5</v>
      </c>
      <c r="C18" s="5">
        <f>(DATA!Z34/2)+(DATA!AA34/2)</f>
        <v>124.5</v>
      </c>
      <c r="D18" s="5">
        <f>(DATA!AA34/2)+(DATA!AB34/2)</f>
        <v>125.5</v>
      </c>
      <c r="E18" s="5">
        <f>(DATA!AB34/2)+(DATA!AC34/2)</f>
        <v>126.5</v>
      </c>
      <c r="F18" s="5">
        <f>(DATA!AC34/2)+(DATA!AD34/2)</f>
        <v>127.5</v>
      </c>
      <c r="G18" s="5">
        <f>(DATA!AD34/2)+(DATA!AE34/2)</f>
        <v>128.5</v>
      </c>
      <c r="H18" s="5">
        <f>(DATA!AE34/2)+(DATA!AF34/2)</f>
        <v>129.5</v>
      </c>
      <c r="I18" s="5">
        <f>(DATA!AF34/2)+(DATA!AG34/2)</f>
        <v>130.5</v>
      </c>
      <c r="J18" s="5">
        <f>(DATA!AG34/2)+(DATA!AH34/2)</f>
        <v>131.5</v>
      </c>
      <c r="K18" s="5">
        <f>(DATA!AH34/2)+(DATA!AI34/2)</f>
        <v>132.5</v>
      </c>
      <c r="L18" s="5">
        <f>(DATA!AI34/2)+(DATA!AJ34/2)</f>
        <v>133.5</v>
      </c>
      <c r="M18" s="5">
        <f>(DATA!AJ34/2)+(DATA!AK34/2)</f>
        <v>134.5</v>
      </c>
      <c r="N18" s="6">
        <f t="shared" si="2"/>
        <v>1548</v>
      </c>
    </row>
    <row r="19" spans="1:14" x14ac:dyDescent="0.25">
      <c r="A19" t="str">
        <f>CashFlowStatement_Year2!A19</f>
        <v>Advertising</v>
      </c>
      <c r="B19" s="5">
        <f>(DATA!Y35/2)+(DATA!Z35/2)</f>
        <v>940.20175541800108</v>
      </c>
      <c r="C19" s="5">
        <f>(DATA!Z35/2)+(DATA!AA35/2)</f>
        <v>1034.2219309598013</v>
      </c>
      <c r="D19" s="5">
        <f>(DATA!AA35/2)+(DATA!AB35/2)</f>
        <v>1137.6441240557815</v>
      </c>
      <c r="E19" s="5">
        <f>(DATA!AB35/2)+(DATA!AC35/2)</f>
        <v>1251.4085364613597</v>
      </c>
      <c r="F19" s="5">
        <f>(DATA!AC35/2)+(DATA!AD35/2)</f>
        <v>1376.5493901074958</v>
      </c>
      <c r="G19" s="5">
        <f>(DATA!AD35/2)+(DATA!AE35/2)</f>
        <v>1514.2043291182456</v>
      </c>
      <c r="H19" s="5">
        <f>(DATA!AE35/2)+(DATA!AF35/2)</f>
        <v>1665.6247620300703</v>
      </c>
      <c r="I19" s="5">
        <f>(DATA!AF35/2)+(DATA!AG35/2)</f>
        <v>1832.1872382330776</v>
      </c>
      <c r="J19" s="5">
        <f>(DATA!AG35/2)+(DATA!AH35/2)</f>
        <v>2015.4059620563853</v>
      </c>
      <c r="K19" s="5">
        <f>(DATA!AH35/2)+(DATA!AI35/2)</f>
        <v>2216.9465582620237</v>
      </c>
      <c r="L19" s="5">
        <f>(DATA!AI35/2)+(DATA!AJ35/2)</f>
        <v>2438.6412140882262</v>
      </c>
      <c r="M19" s="5">
        <f>(DATA!AJ35/2)+(DATA!AK35/2)</f>
        <v>2682.5053354970491</v>
      </c>
      <c r="N19" s="6">
        <f t="shared" si="2"/>
        <v>20105.541136287517</v>
      </c>
    </row>
    <row r="20" spans="1:14" x14ac:dyDescent="0.25">
      <c r="A20" t="str">
        <f>CashFlowStatement_Year2!A20</f>
        <v>Insurance</v>
      </c>
      <c r="B20" s="5">
        <f>(DATA!Y36/2)+(DATA!Z36/2)</f>
        <v>3250</v>
      </c>
      <c r="C20" s="5">
        <f>(DATA!Z36/2)+(DATA!AA36/2)</f>
        <v>3250</v>
      </c>
      <c r="D20" s="5">
        <f>(DATA!AA36/2)+(DATA!AB36/2)</f>
        <v>0</v>
      </c>
      <c r="E20" s="5">
        <f>(DATA!AB36/2)+(DATA!AC36/2)</f>
        <v>0</v>
      </c>
      <c r="F20" s="5">
        <f>(DATA!AC36/2)+(DATA!AD36/2)</f>
        <v>0</v>
      </c>
      <c r="G20" s="5">
        <f>(DATA!AD36/2)+(DATA!AE36/2)</f>
        <v>0</v>
      </c>
      <c r="H20" s="5">
        <f>(DATA!AE36/2)+(DATA!AF36/2)</f>
        <v>0</v>
      </c>
      <c r="I20" s="5">
        <f>(DATA!AF36/2)+(DATA!AG36/2)</f>
        <v>0</v>
      </c>
      <c r="J20" s="5">
        <f>(DATA!AG36/2)+(DATA!AH36/2)</f>
        <v>0</v>
      </c>
      <c r="K20" s="5">
        <f>(DATA!AH36/2)+(DATA!AI36/2)</f>
        <v>0</v>
      </c>
      <c r="L20" s="5">
        <f>(DATA!AI36/2)+(DATA!AJ36/2)</f>
        <v>0</v>
      </c>
      <c r="M20" s="5">
        <f>(DATA!AJ36/2)+(DATA!AK36/2)</f>
        <v>0</v>
      </c>
      <c r="N20" s="6">
        <f t="shared" si="2"/>
        <v>6500</v>
      </c>
    </row>
    <row r="21" spans="1:14" x14ac:dyDescent="0.25">
      <c r="A21" t="str">
        <f>CashFlowStatement_Year2!A21</f>
        <v>Legal/Professional Services</v>
      </c>
      <c r="B21" s="5">
        <f>(DATA!Y37/2)+(DATA!Z37/2)</f>
        <v>0</v>
      </c>
      <c r="C21" s="5">
        <f>(DATA!Z37/2)+(DATA!AA37/2)</f>
        <v>0</v>
      </c>
      <c r="D21" s="5">
        <f>(DATA!AA37/2)+(DATA!AB37/2)</f>
        <v>0</v>
      </c>
      <c r="E21" s="5">
        <f>(DATA!AB37/2)+(DATA!AC37/2)</f>
        <v>0</v>
      </c>
      <c r="F21" s="5">
        <f>(DATA!AC37/2)+(DATA!AD37/2)</f>
        <v>0</v>
      </c>
      <c r="G21" s="5">
        <f>(DATA!AD37/2)+(DATA!AE37/2)</f>
        <v>0</v>
      </c>
      <c r="H21" s="5">
        <f>(DATA!AE37/2)+(DATA!AF37/2)</f>
        <v>0</v>
      </c>
      <c r="I21" s="5">
        <f>(DATA!AF37/2)+(DATA!AG37/2)</f>
        <v>0</v>
      </c>
      <c r="J21" s="5">
        <f>(DATA!AG37/2)+(DATA!AH37/2)</f>
        <v>0</v>
      </c>
      <c r="K21" s="5">
        <f>(DATA!AH37/2)+(DATA!AI37/2)</f>
        <v>0</v>
      </c>
      <c r="L21" s="5">
        <f>(DATA!AI37/2)+(DATA!AJ37/2)</f>
        <v>0</v>
      </c>
      <c r="M21" s="5">
        <f>(DATA!AJ37/2)+(DATA!AK37/2)</f>
        <v>0</v>
      </c>
      <c r="N21" s="6">
        <f t="shared" si="2"/>
        <v>0</v>
      </c>
    </row>
    <row r="22" spans="1:14" x14ac:dyDescent="0.25">
      <c r="A22" t="str">
        <f>CashFlowStatement_Year2!A22</f>
        <v>Licenses</v>
      </c>
      <c r="B22" s="5">
        <f>(DATA!Y38/2)+(DATA!Z38/2)</f>
        <v>0</v>
      </c>
      <c r="C22" s="5">
        <f>(DATA!Z38/2)+(DATA!AA38/2)</f>
        <v>0</v>
      </c>
      <c r="D22" s="5">
        <f>(DATA!AA38/2)+(DATA!AB38/2)</f>
        <v>0</v>
      </c>
      <c r="E22" s="5">
        <f>(DATA!AB38/2)+(DATA!AC38/2)</f>
        <v>0</v>
      </c>
      <c r="F22" s="5">
        <f>(DATA!AC38/2)+(DATA!AD38/2)</f>
        <v>0</v>
      </c>
      <c r="G22" s="5">
        <f>(DATA!AD38/2)+(DATA!AE38/2)</f>
        <v>0</v>
      </c>
      <c r="H22" s="5">
        <f>(DATA!AE38/2)+(DATA!AF38/2)</f>
        <v>0</v>
      </c>
      <c r="I22" s="5">
        <f>(DATA!AF38/2)+(DATA!AG38/2)</f>
        <v>0</v>
      </c>
      <c r="J22" s="5">
        <f>(DATA!AG38/2)+(DATA!AH38/2)</f>
        <v>0</v>
      </c>
      <c r="K22" s="5">
        <f>(DATA!AH38/2)+(DATA!AI38/2)</f>
        <v>0</v>
      </c>
      <c r="L22" s="5">
        <f>(DATA!AI38/2)+(DATA!AJ38/2)</f>
        <v>0</v>
      </c>
      <c r="M22" s="5">
        <f>(DATA!AJ38/2)+(DATA!AK38/2)</f>
        <v>0</v>
      </c>
      <c r="N22" s="6">
        <f t="shared" si="2"/>
        <v>0</v>
      </c>
    </row>
    <row r="23" spans="1:14" x14ac:dyDescent="0.25">
      <c r="A23" t="str">
        <f>CashFlowStatement_Year2!A23</f>
        <v>Mindbody Transacation Fees</v>
      </c>
      <c r="B23" s="5">
        <f>(DATA!Y39/2)+(DATA!Z39/2)</f>
        <v>300</v>
      </c>
      <c r="C23" s="5">
        <f>(DATA!Z39/2)+(DATA!AA39/2)</f>
        <v>300</v>
      </c>
      <c r="D23" s="5">
        <f>(DATA!AA39/2)+(DATA!AB39/2)</f>
        <v>300</v>
      </c>
      <c r="E23" s="5">
        <f>(DATA!AB39/2)+(DATA!AC39/2)</f>
        <v>300</v>
      </c>
      <c r="F23" s="5">
        <f>(DATA!AC39/2)+(DATA!AD39/2)</f>
        <v>300</v>
      </c>
      <c r="G23" s="5">
        <f>(DATA!AD39/2)+(DATA!AE39/2)</f>
        <v>300</v>
      </c>
      <c r="H23" s="5">
        <f>(DATA!AE39/2)+(DATA!AF39/2)</f>
        <v>300</v>
      </c>
      <c r="I23" s="5">
        <f>(DATA!AF39/2)+(DATA!AG39/2)</f>
        <v>300</v>
      </c>
      <c r="J23" s="5">
        <f>(DATA!AG39/2)+(DATA!AH39/2)</f>
        <v>300</v>
      </c>
      <c r="K23" s="5">
        <f>(DATA!AH39/2)+(DATA!AI39/2)</f>
        <v>300</v>
      </c>
      <c r="L23" s="5">
        <f>(DATA!AI39/2)+(DATA!AJ39/2)</f>
        <v>300</v>
      </c>
      <c r="M23" s="5">
        <f>(DATA!AJ39/2)+(DATA!AK39/2)</f>
        <v>300</v>
      </c>
      <c r="N23" s="6">
        <f t="shared" si="2"/>
        <v>3600</v>
      </c>
    </row>
    <row r="24" spans="1:14" x14ac:dyDescent="0.25">
      <c r="A24" t="str">
        <f>CashFlowStatement_Year2!A24</f>
        <v>Mindbody Software</v>
      </c>
      <c r="B24" s="5">
        <f>(DATA!Y40/2)+(DATA!Z40/2)</f>
        <v>125</v>
      </c>
      <c r="C24" s="5">
        <f>(DATA!Z40/2)+(DATA!AA40/2)</f>
        <v>125</v>
      </c>
      <c r="D24" s="5">
        <f>(DATA!AA40/2)+(DATA!AB40/2)</f>
        <v>125</v>
      </c>
      <c r="E24" s="5">
        <f>(DATA!AB40/2)+(DATA!AC40/2)</f>
        <v>125</v>
      </c>
      <c r="F24" s="5">
        <f>(DATA!AC40/2)+(DATA!AD40/2)</f>
        <v>125</v>
      </c>
      <c r="G24" s="5">
        <f>(DATA!AD40/2)+(DATA!AE40/2)</f>
        <v>125</v>
      </c>
      <c r="H24" s="5">
        <f>(DATA!AE40/2)+(DATA!AF40/2)</f>
        <v>125</v>
      </c>
      <c r="I24" s="5">
        <f>(DATA!AF40/2)+(DATA!AG40/2)</f>
        <v>125</v>
      </c>
      <c r="J24" s="5">
        <f>(DATA!AG40/2)+(DATA!AH40/2)</f>
        <v>125</v>
      </c>
      <c r="K24" s="5">
        <f>(DATA!AH40/2)+(DATA!AI40/2)</f>
        <v>125</v>
      </c>
      <c r="L24" s="5">
        <f>(DATA!AI40/2)+(DATA!AJ40/2)</f>
        <v>125</v>
      </c>
      <c r="M24" s="5">
        <f>(DATA!AJ40/2)+(DATA!AK40/2)</f>
        <v>125</v>
      </c>
      <c r="N24" s="6">
        <f t="shared" si="2"/>
        <v>1500</v>
      </c>
    </row>
    <row r="25" spans="1:14" x14ac:dyDescent="0.25">
      <c r="A25" t="str">
        <f>CashFlowStatement_Year2!A25</f>
        <v>Paper Goods</v>
      </c>
      <c r="B25" s="5">
        <f>(DATA!Y41/2)+(DATA!Z41/2)</f>
        <v>50</v>
      </c>
      <c r="C25" s="5">
        <f>(DATA!Z41/2)+(DATA!AA41/2)</f>
        <v>50</v>
      </c>
      <c r="D25" s="5">
        <f>(DATA!AA41/2)+(DATA!AB41/2)</f>
        <v>50</v>
      </c>
      <c r="E25" s="5">
        <f>(DATA!AB41/2)+(DATA!AC41/2)</f>
        <v>50</v>
      </c>
      <c r="F25" s="5">
        <f>(DATA!AC41/2)+(DATA!AD41/2)</f>
        <v>50</v>
      </c>
      <c r="G25" s="5">
        <f>(DATA!AD41/2)+(DATA!AE41/2)</f>
        <v>50</v>
      </c>
      <c r="H25" s="5">
        <f>(DATA!AE41/2)+(DATA!AF41/2)</f>
        <v>50</v>
      </c>
      <c r="I25" s="5">
        <f>(DATA!AF41/2)+(DATA!AG41/2)</f>
        <v>50</v>
      </c>
      <c r="J25" s="5">
        <f>(DATA!AG41/2)+(DATA!AH41/2)</f>
        <v>50</v>
      </c>
      <c r="K25" s="5">
        <f>(DATA!AH41/2)+(DATA!AI41/2)</f>
        <v>50</v>
      </c>
      <c r="L25" s="5">
        <f>(DATA!AI41/2)+(DATA!AJ41/2)</f>
        <v>50</v>
      </c>
      <c r="M25" s="5">
        <f>(DATA!AJ41/2)+(DATA!AK41/2)</f>
        <v>50</v>
      </c>
      <c r="N25" s="6">
        <f t="shared" si="2"/>
        <v>600</v>
      </c>
    </row>
    <row r="26" spans="1:14" x14ac:dyDescent="0.25">
      <c r="A26" t="str">
        <f>CashFlowStatement_Year2!A26</f>
        <v>Rent</v>
      </c>
      <c r="B26" s="5">
        <f>(DATA!Y42/2)+(DATA!Z42/2)</f>
        <v>4875</v>
      </c>
      <c r="C26" s="5">
        <f>(DATA!Z42/2)+(DATA!AA42/2)</f>
        <v>4875</v>
      </c>
      <c r="D26" s="5">
        <f>(DATA!AA42/2)+(DATA!AB42/2)</f>
        <v>4875</v>
      </c>
      <c r="E26" s="5">
        <f>(DATA!AB42/2)+(DATA!AC42/2)</f>
        <v>4875</v>
      </c>
      <c r="F26" s="5">
        <f>(DATA!AC42/2)+(DATA!AD42/2)</f>
        <v>4875</v>
      </c>
      <c r="G26" s="5">
        <f>(DATA!AD42/2)+(DATA!AE42/2)</f>
        <v>4875</v>
      </c>
      <c r="H26" s="5">
        <f>(DATA!AE42/2)+(DATA!AF42/2)</f>
        <v>4875</v>
      </c>
      <c r="I26" s="5">
        <f>(DATA!AF42/2)+(DATA!AG42/2)</f>
        <v>4875</v>
      </c>
      <c r="J26" s="5">
        <f>(DATA!AG42/2)+(DATA!AH42/2)</f>
        <v>4875</v>
      </c>
      <c r="K26" s="5">
        <f>(DATA!AH42/2)+(DATA!AI42/2)</f>
        <v>4875</v>
      </c>
      <c r="L26" s="5">
        <f>(DATA!AI42/2)+(DATA!AJ42/2)</f>
        <v>4875</v>
      </c>
      <c r="M26" s="5">
        <f>(DATA!AJ42/2)+(DATA!AK42/2)</f>
        <v>4875</v>
      </c>
      <c r="N26" s="6">
        <f t="shared" si="2"/>
        <v>58500</v>
      </c>
    </row>
    <row r="27" spans="1:14" x14ac:dyDescent="0.25">
      <c r="A27" t="str">
        <f>CashFlowStatement_Year2!A27</f>
        <v>Tea</v>
      </c>
      <c r="B27" s="5">
        <f>(DATA!Y43/2)+(DATA!Z43/2)</f>
        <v>100</v>
      </c>
      <c r="C27" s="5">
        <f>(DATA!Z43/2)+(DATA!AA43/2)</f>
        <v>100</v>
      </c>
      <c r="D27" s="5">
        <f>(DATA!AA43/2)+(DATA!AB43/2)</f>
        <v>100</v>
      </c>
      <c r="E27" s="5">
        <f>(DATA!AB43/2)+(DATA!AC43/2)</f>
        <v>100</v>
      </c>
      <c r="F27" s="5">
        <f>(DATA!AC43/2)+(DATA!AD43/2)</f>
        <v>100</v>
      </c>
      <c r="G27" s="5">
        <f>(DATA!AD43/2)+(DATA!AE43/2)</f>
        <v>100</v>
      </c>
      <c r="H27" s="5">
        <f>(DATA!AE43/2)+(DATA!AF43/2)</f>
        <v>100</v>
      </c>
      <c r="I27" s="5">
        <f>(DATA!AF43/2)+(DATA!AG43/2)</f>
        <v>100</v>
      </c>
      <c r="J27" s="5">
        <f>(DATA!AG43/2)+(DATA!AH43/2)</f>
        <v>100</v>
      </c>
      <c r="K27" s="5">
        <f>(DATA!AH43/2)+(DATA!AI43/2)</f>
        <v>100</v>
      </c>
      <c r="L27" s="5">
        <f>(DATA!AI43/2)+(DATA!AJ43/2)</f>
        <v>100</v>
      </c>
      <c r="M27" s="5">
        <f>(DATA!AJ43/2)+(DATA!AK43/2)</f>
        <v>100</v>
      </c>
      <c r="N27" s="6">
        <f t="shared" si="2"/>
        <v>1200</v>
      </c>
    </row>
    <row r="28" spans="1:14" x14ac:dyDescent="0.25">
      <c r="A28" t="str">
        <f>CashFlowStatement_Year2!A28</f>
        <v>Telephone</v>
      </c>
      <c r="B28" s="5">
        <f>(DATA!Y44/2)+(DATA!Z44/2)</f>
        <v>100</v>
      </c>
      <c r="C28" s="5">
        <f>(DATA!Z44/2)+(DATA!AA44/2)</f>
        <v>100</v>
      </c>
      <c r="D28" s="5">
        <f>(DATA!AA44/2)+(DATA!AB44/2)</f>
        <v>100</v>
      </c>
      <c r="E28" s="5">
        <f>(DATA!AB44/2)+(DATA!AC44/2)</f>
        <v>100</v>
      </c>
      <c r="F28" s="5">
        <f>(DATA!AC44/2)+(DATA!AD44/2)</f>
        <v>100</v>
      </c>
      <c r="G28" s="5">
        <f>(DATA!AD44/2)+(DATA!AE44/2)</f>
        <v>100</v>
      </c>
      <c r="H28" s="5">
        <f>(DATA!AE44/2)+(DATA!AF44/2)</f>
        <v>100</v>
      </c>
      <c r="I28" s="5">
        <f>(DATA!AF44/2)+(DATA!AG44/2)</f>
        <v>100</v>
      </c>
      <c r="J28" s="5">
        <f>(DATA!AG44/2)+(DATA!AH44/2)</f>
        <v>100</v>
      </c>
      <c r="K28" s="5">
        <f>(DATA!AH44/2)+(DATA!AI44/2)</f>
        <v>100</v>
      </c>
      <c r="L28" s="5">
        <f>(DATA!AI44/2)+(DATA!AJ44/2)</f>
        <v>100</v>
      </c>
      <c r="M28" s="5">
        <f>(DATA!AJ44/2)+(DATA!AK44/2)</f>
        <v>100</v>
      </c>
      <c r="N28" s="6">
        <f t="shared" si="2"/>
        <v>1200</v>
      </c>
    </row>
    <row r="29" spans="1:14" x14ac:dyDescent="0.25">
      <c r="A29" t="str">
        <f>CashFlowStatement_Year2!A29</f>
        <v>Towel Service</v>
      </c>
      <c r="B29" s="5">
        <f>(DATA!Y45/2)+(DATA!Z45/2)</f>
        <v>300</v>
      </c>
      <c r="C29" s="5">
        <f>(DATA!Z45/2)+(DATA!AA45/2)</f>
        <v>300</v>
      </c>
      <c r="D29" s="5">
        <f>(DATA!AA45/2)+(DATA!AB45/2)</f>
        <v>300</v>
      </c>
      <c r="E29" s="5">
        <f>(DATA!AB45/2)+(DATA!AC45/2)</f>
        <v>300</v>
      </c>
      <c r="F29" s="5">
        <f>(DATA!AC45/2)+(DATA!AD45/2)</f>
        <v>300</v>
      </c>
      <c r="G29" s="5">
        <f>(DATA!AD45/2)+(DATA!AE45/2)</f>
        <v>300</v>
      </c>
      <c r="H29" s="5">
        <f>(DATA!AE45/2)+(DATA!AF45/2)</f>
        <v>300</v>
      </c>
      <c r="I29" s="5">
        <f>(DATA!AF45/2)+(DATA!AG45/2)</f>
        <v>300</v>
      </c>
      <c r="J29" s="5">
        <f>(DATA!AG45/2)+(DATA!AH45/2)</f>
        <v>300</v>
      </c>
      <c r="K29" s="5">
        <f>(DATA!AH45/2)+(DATA!AI45/2)</f>
        <v>300</v>
      </c>
      <c r="L29" s="5">
        <f>(DATA!AI45/2)+(DATA!AJ45/2)</f>
        <v>300</v>
      </c>
      <c r="M29" s="5">
        <f>(DATA!AJ45/2)+(DATA!AK45/2)</f>
        <v>300</v>
      </c>
      <c r="N29" s="6">
        <f t="shared" si="2"/>
        <v>3600</v>
      </c>
    </row>
    <row r="30" spans="1:14" x14ac:dyDescent="0.25">
      <c r="A30" t="str">
        <f>CashFlowStatement_Year2!A30</f>
        <v>Utilities</v>
      </c>
      <c r="B30" s="5">
        <f>(DATA!Y46/2)+(DATA!Z46/2)</f>
        <v>200</v>
      </c>
      <c r="C30" s="5">
        <f>(DATA!Z46/2)+(DATA!AA46/2)</f>
        <v>200</v>
      </c>
      <c r="D30" s="5">
        <f>(DATA!AA46/2)+(DATA!AB46/2)</f>
        <v>200</v>
      </c>
      <c r="E30" s="5">
        <f>(DATA!AB46/2)+(DATA!AC46/2)</f>
        <v>200</v>
      </c>
      <c r="F30" s="5">
        <f>(DATA!AC46/2)+(DATA!AD46/2)</f>
        <v>200</v>
      </c>
      <c r="G30" s="5">
        <f>(DATA!AD46/2)+(DATA!AE46/2)</f>
        <v>200</v>
      </c>
      <c r="H30" s="5">
        <f>(DATA!AE46/2)+(DATA!AF46/2)</f>
        <v>200</v>
      </c>
      <c r="I30" s="5">
        <f>(DATA!AF46/2)+(DATA!AG46/2)</f>
        <v>200</v>
      </c>
      <c r="J30" s="5">
        <f>(DATA!AG46/2)+(DATA!AH46/2)</f>
        <v>200</v>
      </c>
      <c r="K30" s="5">
        <f>(DATA!AH46/2)+(DATA!AI46/2)</f>
        <v>200</v>
      </c>
      <c r="L30" s="5">
        <f>(DATA!AI46/2)+(DATA!AJ46/2)</f>
        <v>200</v>
      </c>
      <c r="M30" s="5">
        <f>(DATA!AJ46/2)+(DATA!AK46/2)</f>
        <v>200</v>
      </c>
      <c r="N30" s="6">
        <f t="shared" si="2"/>
        <v>2400</v>
      </c>
    </row>
    <row r="31" spans="1:14" x14ac:dyDescent="0.25">
      <c r="A31" t="str">
        <f>CashFlowStatement_Year2!A31</f>
        <v>Wifi</v>
      </c>
      <c r="B31" s="5">
        <f>(DATA!Y47/2)+(DATA!Z47/2)</f>
        <v>50</v>
      </c>
      <c r="C31" s="5">
        <f>(DATA!Z47/2)+(DATA!AA47/2)</f>
        <v>50</v>
      </c>
      <c r="D31" s="5">
        <f>(DATA!AA47/2)+(DATA!AB47/2)</f>
        <v>50</v>
      </c>
      <c r="E31" s="5">
        <f>(DATA!AB47/2)+(DATA!AC47/2)</f>
        <v>50</v>
      </c>
      <c r="F31" s="5">
        <f>(DATA!AC47/2)+(DATA!AD47/2)</f>
        <v>50</v>
      </c>
      <c r="G31" s="5">
        <f>(DATA!AD47/2)+(DATA!AE47/2)</f>
        <v>50</v>
      </c>
      <c r="H31" s="5">
        <f>(DATA!AE47/2)+(DATA!AF47/2)</f>
        <v>50</v>
      </c>
      <c r="I31" s="5">
        <f>(DATA!AF47/2)+(DATA!AG47/2)</f>
        <v>50</v>
      </c>
      <c r="J31" s="5">
        <f>(DATA!AG47/2)+(DATA!AH47/2)</f>
        <v>50</v>
      </c>
      <c r="K31" s="5">
        <f>(DATA!AH47/2)+(DATA!AI47/2)</f>
        <v>50</v>
      </c>
      <c r="L31" s="5">
        <f>(DATA!AI47/2)+(DATA!AJ47/2)</f>
        <v>50</v>
      </c>
      <c r="M31" s="5">
        <f>(DATA!AJ47/2)+(DATA!AK47/2)</f>
        <v>50</v>
      </c>
      <c r="N31" s="6">
        <f t="shared" si="2"/>
        <v>600</v>
      </c>
    </row>
    <row r="32" spans="1:14" x14ac:dyDescent="0.25">
      <c r="A32" t="str">
        <f>CashFlowStatement_Year2!A32</f>
        <v>Water</v>
      </c>
      <c r="B32" s="5">
        <f>(DATA!Y48/2)+(DATA!Z48/2)</f>
        <v>25</v>
      </c>
      <c r="C32" s="5">
        <f>(DATA!Z48/2)+(DATA!AA48/2)</f>
        <v>25</v>
      </c>
      <c r="D32" s="5">
        <f>(DATA!AA48/2)+(DATA!AB48/2)</f>
        <v>25</v>
      </c>
      <c r="E32" s="5">
        <f>(DATA!AB48/2)+(DATA!AC48/2)</f>
        <v>25</v>
      </c>
      <c r="F32" s="5">
        <f>(DATA!AC48/2)+(DATA!AD48/2)</f>
        <v>25</v>
      </c>
      <c r="G32" s="5">
        <f>(DATA!AD48/2)+(DATA!AE48/2)</f>
        <v>25</v>
      </c>
      <c r="H32" s="5">
        <f>(DATA!AE48/2)+(DATA!AF48/2)</f>
        <v>25</v>
      </c>
      <c r="I32" s="5">
        <f>(DATA!AF48/2)+(DATA!AG48/2)</f>
        <v>25</v>
      </c>
      <c r="J32" s="5">
        <f>(DATA!AG48/2)+(DATA!AH48/2)</f>
        <v>25</v>
      </c>
      <c r="K32" s="5">
        <f>(DATA!AH48/2)+(DATA!AI48/2)</f>
        <v>25</v>
      </c>
      <c r="L32" s="5">
        <f>(DATA!AI48/2)+(DATA!AJ48/2)</f>
        <v>25</v>
      </c>
      <c r="M32" s="5">
        <f>(DATA!AJ48/2)+(DATA!AK48/2)</f>
        <v>25</v>
      </c>
      <c r="N32" s="6">
        <f t="shared" si="2"/>
        <v>300</v>
      </c>
    </row>
    <row r="33" spans="1:14" x14ac:dyDescent="0.25">
      <c r="A33" t="s">
        <v>77</v>
      </c>
      <c r="B33" s="5">
        <f>SalaryModule!Z12</f>
        <v>0</v>
      </c>
      <c r="C33" s="5">
        <f>SalaryModule!AA12</f>
        <v>0</v>
      </c>
      <c r="D33" s="5">
        <f>SalaryModule!AB12</f>
        <v>0</v>
      </c>
      <c r="E33" s="5">
        <f>SalaryModule!AC12</f>
        <v>0</v>
      </c>
      <c r="F33" s="5">
        <f>SalaryModule!AD12</f>
        <v>0</v>
      </c>
      <c r="G33" s="5">
        <f>SalaryModule!AE12</f>
        <v>0</v>
      </c>
      <c r="H33" s="5">
        <f>SalaryModule!AF12</f>
        <v>0</v>
      </c>
      <c r="I33" s="5">
        <f>SalaryModule!AG12</f>
        <v>0</v>
      </c>
      <c r="J33" s="5">
        <f>SalaryModule!AH12</f>
        <v>0</v>
      </c>
      <c r="K33" s="5">
        <f>SalaryModule!AI12</f>
        <v>0</v>
      </c>
      <c r="L33" s="5">
        <f>SalaryModule!AJ12</f>
        <v>0</v>
      </c>
      <c r="M33" s="5">
        <f>SalaryModule!AK12</f>
        <v>0</v>
      </c>
      <c r="N33" s="6">
        <f t="shared" si="2"/>
        <v>0</v>
      </c>
    </row>
    <row r="34" spans="1:14" x14ac:dyDescent="0.25">
      <c r="A34" t="s">
        <v>78</v>
      </c>
      <c r="B34" s="5">
        <f>LoanModule!D33</f>
        <v>0</v>
      </c>
      <c r="C34" s="5">
        <f>LoanModule!D34</f>
        <v>0</v>
      </c>
      <c r="D34" s="5">
        <f>LoanModule!D35</f>
        <v>0</v>
      </c>
      <c r="E34" s="5">
        <f>LoanModule!D36</f>
        <v>0</v>
      </c>
      <c r="F34" s="5">
        <f>LoanModule!D37</f>
        <v>0</v>
      </c>
      <c r="G34" s="5">
        <f>LoanModule!D38</f>
        <v>0</v>
      </c>
      <c r="H34" s="5">
        <f>LoanModule!D39</f>
        <v>0</v>
      </c>
      <c r="I34" s="5">
        <f>LoanModule!D40</f>
        <v>0</v>
      </c>
      <c r="J34" s="5">
        <f>LoanModule!D41</f>
        <v>0</v>
      </c>
      <c r="K34" s="5">
        <f>LoanModule!D42</f>
        <v>0</v>
      </c>
      <c r="L34" s="5">
        <f>LoanModule!D43</f>
        <v>0</v>
      </c>
      <c r="M34" s="5">
        <f>LoanModule!D44</f>
        <v>0</v>
      </c>
      <c r="N34" s="6">
        <f t="shared" si="2"/>
        <v>0</v>
      </c>
    </row>
    <row r="35" spans="1:14" x14ac:dyDescent="0.25">
      <c r="A35" t="s">
        <v>98</v>
      </c>
      <c r="B35" s="5">
        <f>LoanModule!E33</f>
        <v>0</v>
      </c>
      <c r="C35" s="5">
        <f>LoanModule!E34</f>
        <v>0</v>
      </c>
      <c r="D35" s="5">
        <f>LoanModule!E35</f>
        <v>0</v>
      </c>
      <c r="E35" s="5">
        <f>LoanModule!E36</f>
        <v>0</v>
      </c>
      <c r="F35" s="5">
        <f>LoanModule!E37</f>
        <v>0</v>
      </c>
      <c r="G35" s="5">
        <f>LoanModule!E38</f>
        <v>0</v>
      </c>
      <c r="H35" s="5">
        <f>LoanModule!E39</f>
        <v>0</v>
      </c>
      <c r="I35" s="5">
        <f>LoanModule!E40</f>
        <v>0</v>
      </c>
      <c r="J35" s="5">
        <f>LoanModule!E41</f>
        <v>0</v>
      </c>
      <c r="K35" s="5">
        <f>LoanModule!E42</f>
        <v>0</v>
      </c>
      <c r="L35" s="5">
        <f>LoanModule!E43</f>
        <v>0</v>
      </c>
      <c r="M35" s="5">
        <f>LoanModule!E44</f>
        <v>0</v>
      </c>
      <c r="N35" s="6">
        <f t="shared" si="2"/>
        <v>0</v>
      </c>
    </row>
    <row r="36" spans="1:14" x14ac:dyDescent="0.25">
      <c r="A36" t="s">
        <v>21</v>
      </c>
      <c r="B36" s="5">
        <f>DATA!Z31</f>
        <v>0</v>
      </c>
      <c r="C36" s="5">
        <f>DATA!AA31</f>
        <v>0</v>
      </c>
      <c r="D36" s="5">
        <f>DATA!AB31</f>
        <v>0</v>
      </c>
      <c r="E36" s="5">
        <f>DATA!AC31</f>
        <v>0</v>
      </c>
      <c r="F36" s="5">
        <f>DATA!AD31</f>
        <v>0</v>
      </c>
      <c r="G36" s="5">
        <f>DATA!AE31</f>
        <v>0</v>
      </c>
      <c r="H36" s="5">
        <f>DATA!AF31</f>
        <v>0</v>
      </c>
      <c r="I36" s="5">
        <f>DATA!AG31</f>
        <v>0</v>
      </c>
      <c r="J36" s="5">
        <f>DATA!AH31</f>
        <v>0</v>
      </c>
      <c r="K36" s="5">
        <f>DATA!AI31</f>
        <v>0</v>
      </c>
      <c r="L36" s="5">
        <f>DATA!AJ31</f>
        <v>0</v>
      </c>
      <c r="M36" s="5">
        <f>DATA!AK31</f>
        <v>0</v>
      </c>
      <c r="N36" s="6">
        <f t="shared" si="2"/>
        <v>0</v>
      </c>
    </row>
    <row r="37" spans="1:14" x14ac:dyDescent="0.25">
      <c r="A37" t="s">
        <v>99</v>
      </c>
      <c r="B37" s="5">
        <f>IF(DATA!E23=B5,DATA!B23,0)+IF(DATA!E26=B5,DATA!B26,0)</f>
        <v>0</v>
      </c>
      <c r="C37" s="5">
        <f>IF(DATA!E23=C5,DATA!B23,0)+IF(DATA!E26=C5,DATA!B26,0)</f>
        <v>0</v>
      </c>
      <c r="D37" s="5">
        <f>IF(DATA!E23=D5,DATA!B23,0)+IF(DATA!E26=D5,DATA!B26,0)</f>
        <v>0</v>
      </c>
      <c r="E37" s="5">
        <f>IF(DATA!E23=E5,DATA!B23,0)+IF(DATA!E26=E5,DATA!B26,0)</f>
        <v>0</v>
      </c>
      <c r="F37" s="5">
        <f>IF(DATA!E23=F5,DATA!B23,0)+IF(DATA!E26=F5,DATA!B26,0)</f>
        <v>0</v>
      </c>
      <c r="G37" s="5">
        <f>IF(DATA!E23=G5,DATA!B23,0)+IF(DATA!E26=G5,DATA!B26,0)</f>
        <v>0</v>
      </c>
      <c r="H37" s="5">
        <f>IF(DATA!E23=H5,DATA!B23,0)+IF(DATA!E26=H5,DATA!B26,0)</f>
        <v>0</v>
      </c>
      <c r="I37" s="5">
        <f>IF(DATA!E23=I5,DATA!B23,0)+IF(DATA!E26=I5,DATA!B26,0)</f>
        <v>0</v>
      </c>
      <c r="J37" s="5">
        <f>IF(DATA!E23=J5,DATA!B23,0)+IF(DATA!E26=J5,DATA!B26,0)</f>
        <v>0</v>
      </c>
      <c r="K37" s="5">
        <f>IF(DATA!E23=K5,DATA!B23,0)+IF(DATA!E26=K5,DATA!B26,0)</f>
        <v>0</v>
      </c>
      <c r="L37" s="5">
        <f>IF(DATA!E23=L5,DATA!B23,0)+IF(DATA!E26=L5,DATA!B26,0)</f>
        <v>0</v>
      </c>
      <c r="M37" s="5">
        <f>IF(DATA!E23=M5,DATA!B23,0)+IF(DATA!E26=M5,DATA!B26,0)</f>
        <v>0</v>
      </c>
      <c r="N37" s="6">
        <f t="shared" si="2"/>
        <v>0</v>
      </c>
    </row>
    <row r="38" spans="1:14" x14ac:dyDescent="0.25">
      <c r="A38" t="s">
        <v>100</v>
      </c>
      <c r="B38" s="5">
        <f>((DATA!B50*DATA!Y56)/2)+((DATA!B50*DATA!Z56)/2)</f>
        <v>0</v>
      </c>
      <c r="C38" s="5">
        <f>((DATA!B50*DATA!Z56)/2)+((DATA!B50*DATA!AA56)/2)</f>
        <v>0</v>
      </c>
      <c r="D38" s="5">
        <f>((DATA!B50*DATA!AA56)/2)+((DATA!B50*DATA!AB56)/2)</f>
        <v>0</v>
      </c>
      <c r="E38" s="5">
        <f>((DATA!B50*DATA!AB56)/2)+((DATA!B50*DATA!AC56)/2)</f>
        <v>0</v>
      </c>
      <c r="F38" s="5">
        <f>((DATA!B50*DATA!AC56)/2)+((DATA!B50*DATA!AD56)/2)</f>
        <v>0</v>
      </c>
      <c r="G38" s="5">
        <f>((DATA!B50*DATA!AD56)/2)+((DATA!B50*DATA!AE56)/2)</f>
        <v>0</v>
      </c>
      <c r="H38" s="5">
        <f>((DATA!B50*DATA!AE56)/2)+((DATA!B50*DATA!AF56)/2)</f>
        <v>0</v>
      </c>
      <c r="I38" s="5">
        <f>((DATA!B50*DATA!AF56)/2)+((DATA!B50*DATA!AG56)/2)</f>
        <v>0</v>
      </c>
      <c r="J38" s="5">
        <f>((DATA!B50*DATA!AG56)/2)+((DATA!B50*DATA!AH56)/2)</f>
        <v>0</v>
      </c>
      <c r="K38" s="5">
        <f>((DATA!B50*DATA!AH56)/2)+((DATA!B50*DATA!AI56)/2)</f>
        <v>0</v>
      </c>
      <c r="L38" s="5">
        <f>((DATA!B50*DATA!AI56)/2)+((DATA!B50*DATA!AJ56)/2)</f>
        <v>0</v>
      </c>
      <c r="M38" s="5">
        <f>((DATA!B50*DATA!AJ56)/2)+((DATA!B50*DATA!AK56)/2)</f>
        <v>0</v>
      </c>
      <c r="N38" s="6">
        <f t="shared" si="2"/>
        <v>0</v>
      </c>
    </row>
    <row r="39" spans="1:14" x14ac:dyDescent="0.25">
      <c r="A39" t="s">
        <v>83</v>
      </c>
      <c r="B39" s="5">
        <f>IncomeStatement_Year3!B44</f>
        <v>413.66062771500975</v>
      </c>
      <c r="C39" s="5">
        <f>IncomeStatement_Year3!C44</f>
        <v>413.66062771500975</v>
      </c>
      <c r="D39" s="5">
        <f>IncomeStatement_Year3!D44</f>
        <v>413.66062771500975</v>
      </c>
      <c r="E39" s="5">
        <f>IncomeStatement_Year3!E44</f>
        <v>413.66062771500975</v>
      </c>
      <c r="F39" s="5">
        <f>IncomeStatement_Year3!F44</f>
        <v>413.66062771500975</v>
      </c>
      <c r="G39" s="5">
        <f>IncomeStatement_Year3!G44</f>
        <v>413.66062771500975</v>
      </c>
      <c r="H39" s="5">
        <f>IncomeStatement_Year3!H44</f>
        <v>413.66062771500975</v>
      </c>
      <c r="I39" s="5">
        <f>IncomeStatement_Year3!I44</f>
        <v>413.66062771500975</v>
      </c>
      <c r="J39" s="5">
        <f>IncomeStatement_Year3!J44</f>
        <v>413.66062771500975</v>
      </c>
      <c r="K39" s="5">
        <f>IncomeStatement_Year3!K44</f>
        <v>413.66062771500975</v>
      </c>
      <c r="L39" s="5">
        <f>IncomeStatement_Year3!L44</f>
        <v>413.66062771500975</v>
      </c>
      <c r="M39" s="5">
        <f>IncomeStatement_Year3!M44</f>
        <v>413.66062771500975</v>
      </c>
      <c r="N39" s="6">
        <f t="shared" si="2"/>
        <v>4963.9275325801173</v>
      </c>
    </row>
    <row r="40" spans="1:14" x14ac:dyDescent="0.25">
      <c r="A40" t="s">
        <v>101</v>
      </c>
      <c r="B40" s="5">
        <f>IncomeStatement_Year2!M13*DATA!B3-IncomeStatement_Year3!B13*DATA!B3</f>
        <v>-3.1429075458710827</v>
      </c>
      <c r="C40" s="5">
        <f>IncomeStatement_Year3!B13*DATA!B3-IncomeStatement_Year3!C13*DATA!B3</f>
        <v>-3.1743366213298145</v>
      </c>
      <c r="D40" s="5">
        <f>IncomeStatement_Year3!C13*DATA!B3-IncomeStatement_Year3!D13*DATA!B3</f>
        <v>-3.2060799875430916</v>
      </c>
      <c r="E40" s="5">
        <f>IncomeStatement_Year3!D13*DATA!B3-IncomeStatement_Year3!E13*DATA!B3</f>
        <v>-3.2381407874185015</v>
      </c>
      <c r="F40" s="5">
        <f>IncomeStatement_Year3!E13*DATA!B3-IncomeStatement_Year3!F13*DATA!B3</f>
        <v>-3.2705221952926991</v>
      </c>
      <c r="G40" s="5">
        <f>IncomeStatement_Year3!F13*DATA!B3-IncomeStatement_Year3!G13*DATA!B3</f>
        <v>-3.3032274172456368</v>
      </c>
      <c r="H40" s="5">
        <f>IncomeStatement_Year3!G13*DATA!B3-IncomeStatement_Year3!H13*DATA!B3</f>
        <v>-3.3362596914180926</v>
      </c>
      <c r="I40" s="5">
        <f>IncomeStatement_Year3!H13*DATA!B3-IncomeStatement_Year3!I13*DATA!B3</f>
        <v>-3.3696222883322662</v>
      </c>
      <c r="J40" s="5">
        <f>IncomeStatement_Year3!I13*DATA!B3-IncomeStatement_Year3!J13*DATA!B3</f>
        <v>-3.4033185112156161</v>
      </c>
      <c r="K40" s="5">
        <f>IncomeStatement_Year3!J13*DATA!B3-IncomeStatement_Year3!K13*DATA!B3</f>
        <v>-3.4373516963277666</v>
      </c>
      <c r="L40" s="5">
        <f>IncomeStatement_Year3!K13*DATA!B3-IncomeStatement_Year3!L13*DATA!B3</f>
        <v>-3.4717252132910517</v>
      </c>
      <c r="M40" s="5">
        <f>IncomeStatement_Year3!L13*DATA!B3-IncomeStatement_Year3!M13*DATA!B3</f>
        <v>-3.5064424654239588</v>
      </c>
      <c r="N40" s="6">
        <f t="shared" si="2"/>
        <v>-39.859934420709578</v>
      </c>
    </row>
    <row r="41" spans="1:14" x14ac:dyDescent="0.25">
      <c r="A41" s="4" t="s">
        <v>102</v>
      </c>
      <c r="B41" s="8">
        <f t="shared" ref="B41:M41" si="3">SUM(B16:B39)-B40</f>
        <v>13566.980892071062</v>
      </c>
      <c r="C41" s="8">
        <f t="shared" si="3"/>
        <v>13667.586732164955</v>
      </c>
      <c r="D41" s="8">
        <f t="shared" si="3"/>
        <v>10527.628885938009</v>
      </c>
      <c r="E41" s="8">
        <f t="shared" si="3"/>
        <v>10648.047876546374</v>
      </c>
      <c r="F41" s="8">
        <f t="shared" si="3"/>
        <v>10779.878250514186</v>
      </c>
      <c r="G41" s="8">
        <f t="shared" si="3"/>
        <v>10924.257979783028</v>
      </c>
      <c r="H41" s="8">
        <f t="shared" si="3"/>
        <v>11082.438803963456</v>
      </c>
      <c r="I41" s="8">
        <f t="shared" si="3"/>
        <v>11255.79760680879</v>
      </c>
      <c r="J41" s="8">
        <f t="shared" si="3"/>
        <v>11445.84893033335</v>
      </c>
      <c r="K41" s="8">
        <f t="shared" si="3"/>
        <v>11654.258740339546</v>
      </c>
      <c r="L41" s="8">
        <f t="shared" si="3"/>
        <v>11882.859568494707</v>
      </c>
      <c r="M41" s="8">
        <f t="shared" si="3"/>
        <v>12133.667168612565</v>
      </c>
      <c r="N41" s="8">
        <f t="shared" si="2"/>
        <v>139569.25143557001</v>
      </c>
    </row>
    <row r="43" spans="1:14" x14ac:dyDescent="0.25">
      <c r="A43" s="4" t="s">
        <v>103</v>
      </c>
      <c r="B43" s="9">
        <f t="shared" ref="B43:M43" si="4">B13-B41</f>
        <v>16624.277703290238</v>
      </c>
      <c r="C43" s="9">
        <f t="shared" si="4"/>
        <v>20083.912671906262</v>
      </c>
      <c r="D43" s="9">
        <f t="shared" si="4"/>
        <v>27215.115230547126</v>
      </c>
      <c r="E43" s="9">
        <f t="shared" si="4"/>
        <v>31570.657096081635</v>
      </c>
      <c r="F43" s="9">
        <f t="shared" si="4"/>
        <v>36459.938221054465</v>
      </c>
      <c r="G43" s="9">
        <f t="shared" si="4"/>
        <v>41949.839178963157</v>
      </c>
      <c r="H43" s="9">
        <f t="shared" si="4"/>
        <v>48115.684161779325</v>
      </c>
      <c r="I43" s="9">
        <f t="shared" si="4"/>
        <v>55042.329228409275</v>
      </c>
      <c r="J43" s="9">
        <f t="shared" si="4"/>
        <v>62825.392401604928</v>
      </c>
      <c r="K43" s="9">
        <f t="shared" si="4"/>
        <v>71572.644435967493</v>
      </c>
      <c r="L43" s="9">
        <f t="shared" si="4"/>
        <v>81405.58160772729</v>
      </c>
      <c r="M43" s="9">
        <f t="shared" si="4"/>
        <v>92461.204749620374</v>
      </c>
      <c r="N43" s="9">
        <f>SUM(B43:M43)</f>
        <v>585326.57668695156</v>
      </c>
    </row>
    <row r="45" spans="1:14" x14ac:dyDescent="0.25">
      <c r="A45" s="4" t="s">
        <v>104</v>
      </c>
      <c r="B45" s="6">
        <f>B43</f>
        <v>16624.277703290238</v>
      </c>
      <c r="C45" s="6">
        <f t="shared" ref="C45:M45" si="5">B45+C43</f>
        <v>36708.1903751965</v>
      </c>
      <c r="D45" s="6">
        <f t="shared" si="5"/>
        <v>63923.305605743626</v>
      </c>
      <c r="E45" s="6">
        <f t="shared" si="5"/>
        <v>95493.962701825265</v>
      </c>
      <c r="F45" s="6">
        <f t="shared" si="5"/>
        <v>131953.90092287972</v>
      </c>
      <c r="G45" s="6">
        <f t="shared" si="5"/>
        <v>173903.74010184288</v>
      </c>
      <c r="H45" s="6">
        <f t="shared" si="5"/>
        <v>222019.4242636222</v>
      </c>
      <c r="I45" s="6">
        <f t="shared" si="5"/>
        <v>277061.75349203148</v>
      </c>
      <c r="J45" s="6">
        <f t="shared" si="5"/>
        <v>339887.14589363639</v>
      </c>
      <c r="K45" s="6">
        <f t="shared" si="5"/>
        <v>411459.79032960389</v>
      </c>
      <c r="L45" s="6">
        <f t="shared" si="5"/>
        <v>492865.37193733116</v>
      </c>
      <c r="M45" s="6">
        <f t="shared" si="5"/>
        <v>585326.57668695156</v>
      </c>
      <c r="N45" s="6">
        <f>M45</f>
        <v>585326.57668695156</v>
      </c>
    </row>
    <row r="48" spans="1:14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C23" sqref="C23"/>
    </sheetView>
  </sheetViews>
  <sheetFormatPr defaultRowHeight="15" x14ac:dyDescent="0.25"/>
  <cols>
    <col min="1" max="1" width="40" bestFit="1" customWidth="1"/>
    <col min="2" max="2" width="10.5703125" bestFit="1" customWidth="1"/>
    <col min="3" max="9" width="11.7109375" bestFit="1" customWidth="1"/>
    <col min="10" max="14" width="12.85546875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105</v>
      </c>
    </row>
    <row r="3" spans="1:14" x14ac:dyDescent="0.25">
      <c r="A3" t="s">
        <v>69</v>
      </c>
    </row>
    <row r="5" spans="1:14" x14ac:dyDescent="0.25">
      <c r="A5" t="s">
        <v>106</v>
      </c>
      <c r="B5" s="12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x14ac:dyDescent="0.25">
      <c r="B6" s="12"/>
    </row>
    <row r="7" spans="1:14" x14ac:dyDescent="0.25">
      <c r="A7" t="s">
        <v>107</v>
      </c>
      <c r="B7" s="12"/>
    </row>
    <row r="8" spans="1:14" x14ac:dyDescent="0.25">
      <c r="A8" t="s">
        <v>108</v>
      </c>
      <c r="B8" s="12"/>
    </row>
    <row r="9" spans="1:14" x14ac:dyDescent="0.25">
      <c r="A9" t="s">
        <v>109</v>
      </c>
      <c r="B9" s="11">
        <f>StartupCosts!B2</f>
        <v>0</v>
      </c>
      <c r="C9" s="11">
        <f>CashFlowStatement_Year1!C7+CashFlowStatement_Year1!C43</f>
        <v>-14543.16</v>
      </c>
      <c r="D9" s="11">
        <f>CashFlowStatement_Year1!D7+CashFlowStatement_Year1!D43</f>
        <v>-19166.394191723361</v>
      </c>
      <c r="E9" s="11">
        <f>CashFlowStatement_Year1!E7+CashFlowStatement_Year1!E43</f>
        <v>-23439.265237915602</v>
      </c>
      <c r="F9" s="11">
        <f>CashFlowStatement_Year1!F7+CashFlowStatement_Year1!F43</f>
        <v>-27337.168788399955</v>
      </c>
      <c r="G9" s="11">
        <f>CashFlowStatement_Year1!G7+CashFlowStatement_Year1!G43</f>
        <v>-30823.663544993593</v>
      </c>
      <c r="H9" s="11">
        <f>CashFlowStatement_Year1!H7+CashFlowStatement_Year1!H43</f>
        <v>-33849.743054641411</v>
      </c>
      <c r="I9" s="11">
        <f>CashFlowStatement_Year1!I7+CashFlowStatement_Year1!I43</f>
        <v>-35874.891436295889</v>
      </c>
      <c r="J9" s="11">
        <f>CashFlowStatement_Year1!J7+CashFlowStatement_Year1!J43</f>
        <v>-37358.60699586953</v>
      </c>
      <c r="K9" s="11">
        <f>CashFlowStatement_Year1!K7+CashFlowStatement_Year1!K43</f>
        <v>-38256.526911620524</v>
      </c>
      <c r="L9" s="11">
        <f>CashFlowStatement_Year1!L7+CashFlowStatement_Year1!L43</f>
        <v>-38516.939209669501</v>
      </c>
      <c r="M9" s="11">
        <f>CashFlowStatement_Year1!M7+CashFlowStatement_Year1!M43</f>
        <v>-38080.074849482102</v>
      </c>
      <c r="N9" s="11">
        <f>CashFlowStatement_Year1!N7+CashFlowStatement_Year1!N43</f>
        <v>-36877.293551499883</v>
      </c>
    </row>
    <row r="10" spans="1:14" x14ac:dyDescent="0.25">
      <c r="A10" t="s">
        <v>110</v>
      </c>
      <c r="B10" s="11">
        <f>StartupCosts!B5</f>
        <v>1000</v>
      </c>
      <c r="C10" s="11">
        <f>IncomeStatement_Year1!B13*DATA!B3</f>
        <v>250</v>
      </c>
      <c r="D10" s="11">
        <f>IncomeStatement_Year1!C13*DATA!B3</f>
        <v>252.5</v>
      </c>
      <c r="E10" s="11">
        <f>IncomeStatement_Year1!D13*DATA!B3</f>
        <v>255.02500000000001</v>
      </c>
      <c r="F10" s="11">
        <f>IncomeStatement_Year1!E13*DATA!B3</f>
        <v>257.57524999999998</v>
      </c>
      <c r="G10" s="11">
        <f>IncomeStatement_Year1!F13*DATA!B3</f>
        <v>260.1510025</v>
      </c>
      <c r="H10" s="11">
        <f>IncomeStatement_Year1!G13*DATA!B3</f>
        <v>262.75251252499999</v>
      </c>
      <c r="I10" s="11">
        <f>IncomeStatement_Year1!H13*DATA!B3</f>
        <v>265.38003765024996</v>
      </c>
      <c r="J10" s="11">
        <f>IncomeStatement_Year1!I13*DATA!B3</f>
        <v>268.03383802675245</v>
      </c>
      <c r="K10" s="11">
        <f>IncomeStatement_Year1!J13*DATA!B3</f>
        <v>270.71417640701998</v>
      </c>
      <c r="L10" s="11">
        <f>IncomeStatement_Year1!K13*DATA!B3</f>
        <v>273.42131817109021</v>
      </c>
      <c r="M10" s="11">
        <f>IncomeStatement_Year1!L13*DATA!B3</f>
        <v>276.15553135280112</v>
      </c>
      <c r="N10" s="11">
        <f>IncomeStatement_Year1!M13*DATA!B3</f>
        <v>278.91708666632911</v>
      </c>
    </row>
    <row r="11" spans="1:14" x14ac:dyDescent="0.25">
      <c r="A11" s="4" t="s">
        <v>111</v>
      </c>
      <c r="B11" s="13">
        <f t="shared" ref="B11:N11" si="0">SUM(B9:B10)</f>
        <v>1000</v>
      </c>
      <c r="C11" s="13">
        <f t="shared" si="0"/>
        <v>-14293.16</v>
      </c>
      <c r="D11" s="13">
        <f t="shared" si="0"/>
        <v>-18913.894191723361</v>
      </c>
      <c r="E11" s="13">
        <f t="shared" si="0"/>
        <v>-23184.240237915601</v>
      </c>
      <c r="F11" s="13">
        <f t="shared" si="0"/>
        <v>-27079.593538399953</v>
      </c>
      <c r="G11" s="13">
        <f t="shared" si="0"/>
        <v>-30563.512542493594</v>
      </c>
      <c r="H11" s="13">
        <f t="shared" si="0"/>
        <v>-33586.990542116408</v>
      </c>
      <c r="I11" s="13">
        <f t="shared" si="0"/>
        <v>-35609.511398645642</v>
      </c>
      <c r="J11" s="13">
        <f t="shared" si="0"/>
        <v>-37090.57315784278</v>
      </c>
      <c r="K11" s="13">
        <f t="shared" si="0"/>
        <v>-37985.812735213505</v>
      </c>
      <c r="L11" s="13">
        <f t="shared" si="0"/>
        <v>-38243.517891498414</v>
      </c>
      <c r="M11" s="13">
        <f t="shared" si="0"/>
        <v>-37803.919318129301</v>
      </c>
      <c r="N11" s="13">
        <f t="shared" si="0"/>
        <v>-36598.376464833556</v>
      </c>
    </row>
    <row r="12" spans="1:14" x14ac:dyDescent="0.25">
      <c r="B12" s="12"/>
    </row>
    <row r="13" spans="1:14" x14ac:dyDescent="0.25">
      <c r="A13" t="s">
        <v>112</v>
      </c>
      <c r="B13" s="12"/>
    </row>
    <row r="14" spans="1:14" x14ac:dyDescent="0.25">
      <c r="A14" t="s">
        <v>14</v>
      </c>
      <c r="B14" s="11">
        <f>IF(B5=DATA!E23,DATA!B23,0)</f>
        <v>8500</v>
      </c>
      <c r="C14" s="11">
        <f>IF(C5=DATA!E23,DATA!B23,0)+B14</f>
        <v>8500</v>
      </c>
      <c r="D14" s="11">
        <f>IF(D5=DATA!E23,DATA!B23,0)+C14</f>
        <v>8500</v>
      </c>
      <c r="E14" s="11">
        <f>IF(E5=DATA!E23,DATA!B23,0)+D14</f>
        <v>8500</v>
      </c>
      <c r="F14" s="11">
        <f>IF(F5=DATA!E23,DATA!B23,0)+E14</f>
        <v>8500</v>
      </c>
      <c r="G14" s="11">
        <f>IF(G5=DATA!E23,DATA!B23,0)+F14</f>
        <v>8500</v>
      </c>
      <c r="H14" s="11">
        <f>IF(H5=DATA!E23,DATA!B23,0)+G14</f>
        <v>8500</v>
      </c>
      <c r="I14" s="11">
        <f>IF(I5=DATA!E23,DATA!B23,0)+H14</f>
        <v>8500</v>
      </c>
      <c r="J14" s="11">
        <f>IF(J5=DATA!E23,DATA!B23,0)+I14</f>
        <v>8500</v>
      </c>
      <c r="K14" s="11">
        <f>IF(K5=DATA!E23,DATA!B23,0)+J14</f>
        <v>8500</v>
      </c>
      <c r="L14" s="11">
        <f>IF(L5=DATA!E23,DATA!B23,0)+K14</f>
        <v>8500</v>
      </c>
      <c r="M14" s="11">
        <f>IF(M5=DATA!E23,DATA!B23,0)+L14</f>
        <v>8500</v>
      </c>
      <c r="N14" s="11">
        <f>IF(N5=DATA!E23,DATA!B23,0)+M14</f>
        <v>8500</v>
      </c>
    </row>
    <row r="15" spans="1:14" x14ac:dyDescent="0.25">
      <c r="A15" t="s">
        <v>239</v>
      </c>
      <c r="B15" s="11">
        <f>IF(B5=DATA!E26,DATA!B26,0)</f>
        <v>82000</v>
      </c>
      <c r="C15" s="11">
        <f>IF(C5=DATA!E26,DATA!B26,0)+B15</f>
        <v>82000</v>
      </c>
      <c r="D15" s="11">
        <f>IF(D5=DATA!E26,DATA!B26,0)+C15</f>
        <v>82000</v>
      </c>
      <c r="E15" s="11">
        <f>IF(E5=DATA!E26,DATA!B26,0)+D15</f>
        <v>82000</v>
      </c>
      <c r="F15" s="11">
        <f>IF(F5=DATA!E26,DATA!B26,0)+E15</f>
        <v>82000</v>
      </c>
      <c r="G15" s="11">
        <f>IF(G5=DATA!E26,DATA!B26,0)+F15</f>
        <v>82000</v>
      </c>
      <c r="H15" s="11">
        <f>IF(H5=DATA!E26,DATA!B26,0)+G15</f>
        <v>82000</v>
      </c>
      <c r="I15" s="11">
        <f>IF(I5=DATA!E26,DATA!B26,0)+H15</f>
        <v>82000</v>
      </c>
      <c r="J15" s="11">
        <f>IF(J5=DATA!E26,DATA!B26,0)+I15</f>
        <v>82000</v>
      </c>
      <c r="K15" s="11">
        <f>IF(K5=DATA!E26,DATA!B26,0)+J15</f>
        <v>82000</v>
      </c>
      <c r="L15" s="11">
        <f>IF(L5=DATA!E26,DATA!B26,0)+K15</f>
        <v>82000</v>
      </c>
      <c r="M15" s="11">
        <f>IF(M5=DATA!E26,DATA!B26,0)+L15</f>
        <v>82000</v>
      </c>
      <c r="N15" s="11">
        <f>IF(N5=DATA!E26,DATA!B26,0)+M15</f>
        <v>82000</v>
      </c>
    </row>
    <row r="16" spans="1:14" x14ac:dyDescent="0.25">
      <c r="A16" t="s">
        <v>113</v>
      </c>
      <c r="B16" s="11">
        <f>0</f>
        <v>0</v>
      </c>
      <c r="C16" s="11">
        <f>-(IncomeStatement_Year1!B39-B16)</f>
        <v>-1077.3809523809523</v>
      </c>
      <c r="D16" s="11">
        <f>-(IncomeStatement_Year1!C39-C16)</f>
        <v>-2154.7619047619046</v>
      </c>
      <c r="E16" s="11">
        <f>-(IncomeStatement_Year1!D39-D16)</f>
        <v>-3232.1428571428569</v>
      </c>
      <c r="F16" s="11">
        <f>-(IncomeStatement_Year1!E39-E16)</f>
        <v>-4309.5238095238092</v>
      </c>
      <c r="G16" s="11">
        <f>-(IncomeStatement_Year1!F39-F16)</f>
        <v>-5386.9047619047615</v>
      </c>
      <c r="H16" s="11">
        <f>-(IncomeStatement_Year1!G39-G16)</f>
        <v>-6464.2857142857138</v>
      </c>
      <c r="I16" s="11">
        <f>-(IncomeStatement_Year1!H39-H16)</f>
        <v>-7541.6666666666661</v>
      </c>
      <c r="J16" s="11">
        <f>-(IncomeStatement_Year1!I39-I16)</f>
        <v>-8619.0476190476184</v>
      </c>
      <c r="K16" s="11">
        <f>-(IncomeStatement_Year1!J39-J16)</f>
        <v>-9696.4285714285706</v>
      </c>
      <c r="L16" s="11">
        <f>-(IncomeStatement_Year1!K39-K16)</f>
        <v>-10773.809523809523</v>
      </c>
      <c r="M16" s="11">
        <f>-(IncomeStatement_Year1!L39-L16)</f>
        <v>-11851.190476190475</v>
      </c>
      <c r="N16" s="11">
        <f>-(IncomeStatement_Year1!M39-M16)</f>
        <v>-12928.571428571428</v>
      </c>
    </row>
    <row r="17" spans="1:14" x14ac:dyDescent="0.25">
      <c r="A17" s="4" t="s">
        <v>114</v>
      </c>
      <c r="B17" s="13">
        <f t="shared" ref="B17:N17" si="1">SUM(B14:B16)</f>
        <v>90500</v>
      </c>
      <c r="C17" s="13">
        <f t="shared" si="1"/>
        <v>89422.619047619053</v>
      </c>
      <c r="D17" s="13">
        <f t="shared" si="1"/>
        <v>88345.238095238092</v>
      </c>
      <c r="E17" s="13">
        <f t="shared" si="1"/>
        <v>87267.857142857145</v>
      </c>
      <c r="F17" s="13">
        <f t="shared" si="1"/>
        <v>86190.476190476184</v>
      </c>
      <c r="G17" s="13">
        <f t="shared" si="1"/>
        <v>85113.095238095237</v>
      </c>
      <c r="H17" s="13">
        <f t="shared" si="1"/>
        <v>84035.71428571429</v>
      </c>
      <c r="I17" s="13">
        <f t="shared" si="1"/>
        <v>82958.333333333328</v>
      </c>
      <c r="J17" s="13">
        <f t="shared" si="1"/>
        <v>81880.952380952382</v>
      </c>
      <c r="K17" s="13">
        <f t="shared" si="1"/>
        <v>80803.571428571435</v>
      </c>
      <c r="L17" s="13">
        <f t="shared" si="1"/>
        <v>79726.190476190473</v>
      </c>
      <c r="M17" s="13">
        <f t="shared" si="1"/>
        <v>78648.809523809527</v>
      </c>
      <c r="N17" s="13">
        <f t="shared" si="1"/>
        <v>77571.42857142858</v>
      </c>
    </row>
    <row r="18" spans="1:14" x14ac:dyDescent="0.25">
      <c r="B18" s="12"/>
    </row>
    <row r="19" spans="1:14" x14ac:dyDescent="0.25">
      <c r="A19" s="4" t="s">
        <v>115</v>
      </c>
      <c r="B19" s="14">
        <f t="shared" ref="B19:N19" si="2">B11+B17</f>
        <v>91500</v>
      </c>
      <c r="C19" s="8">
        <f t="shared" si="2"/>
        <v>75129.45904761905</v>
      </c>
      <c r="D19" s="8">
        <f t="shared" si="2"/>
        <v>69431.343903514731</v>
      </c>
      <c r="E19" s="8">
        <f t="shared" si="2"/>
        <v>64083.616904941548</v>
      </c>
      <c r="F19" s="8">
        <f t="shared" si="2"/>
        <v>59110.88265207623</v>
      </c>
      <c r="G19" s="8">
        <f t="shared" si="2"/>
        <v>54549.582695601639</v>
      </c>
      <c r="H19" s="8">
        <f t="shared" si="2"/>
        <v>50448.723743597882</v>
      </c>
      <c r="I19" s="8">
        <f t="shared" si="2"/>
        <v>47348.821934687687</v>
      </c>
      <c r="J19" s="8">
        <f t="shared" si="2"/>
        <v>44790.379223109601</v>
      </c>
      <c r="K19" s="8">
        <f t="shared" si="2"/>
        <v>42817.75869335793</v>
      </c>
      <c r="L19" s="8">
        <f t="shared" si="2"/>
        <v>41482.67258469206</v>
      </c>
      <c r="M19" s="8">
        <f t="shared" si="2"/>
        <v>40844.890205680225</v>
      </c>
      <c r="N19" s="8">
        <f t="shared" si="2"/>
        <v>40973.052106595023</v>
      </c>
    </row>
    <row r="20" spans="1:14" x14ac:dyDescent="0.25">
      <c r="B20" s="12"/>
    </row>
    <row r="21" spans="1:14" x14ac:dyDescent="0.25">
      <c r="A21" s="4" t="s">
        <v>116</v>
      </c>
      <c r="B21" s="12"/>
    </row>
    <row r="22" spans="1:14" x14ac:dyDescent="0.25">
      <c r="A22" t="s">
        <v>117</v>
      </c>
      <c r="B22" s="12"/>
    </row>
    <row r="23" spans="1:14" x14ac:dyDescent="0.25">
      <c r="A23" t="s">
        <v>118</v>
      </c>
      <c r="B23" s="11">
        <f>0</f>
        <v>0</v>
      </c>
      <c r="C23" s="11">
        <f>(IncomeStatement_Year1!B15+SUM(IncomeStatement_Year1!B21:B35)+IncomeStatement_Year1!B38)/2</f>
        <v>16085.084999999999</v>
      </c>
      <c r="D23" s="11">
        <f>(IncomeStatement_Year1!C15+SUM(IncomeStatement_Year1!C21:C35)+IncomeStatement_Year1!C38)/2</f>
        <v>4465.42</v>
      </c>
      <c r="E23" s="11">
        <f>(IncomeStatement_Year1!D15+SUM(IncomeStatement_Year1!D21:D35)+IncomeStatement_Year1!D38)/2</f>
        <v>4473.8536699999995</v>
      </c>
      <c r="F23" s="11">
        <f>(IncomeStatement_Year1!E15+SUM(IncomeStatement_Year1!E21:E35)+IncomeStatement_Year1!E38)/2</f>
        <v>4482.8511361699993</v>
      </c>
      <c r="G23" s="11">
        <f>(IncomeStatement_Year1!F15+SUM(IncomeStatement_Year1!F21:F35)+IncomeStatement_Year1!F38)/2</f>
        <v>4492.4675259311698</v>
      </c>
      <c r="H23" s="11">
        <f>(IncomeStatement_Year1!G15+SUM(IncomeStatement_Year1!G21:G35)+IncomeStatement_Year1!G38)/2</f>
        <v>4502.7634679683506</v>
      </c>
      <c r="I23" s="11">
        <f>(IncomeStatement_Year1!H15+SUM(IncomeStatement_Year1!H21:H35)+IncomeStatement_Year1!H38)/2</f>
        <v>4513.8056422426807</v>
      </c>
      <c r="J23" s="11">
        <f>(IncomeStatement_Year1!I15+SUM(IncomeStatement_Year1!I21:I35)+IncomeStatement_Year1!I38)/2</f>
        <v>4525.6673850043499</v>
      </c>
      <c r="K23" s="11">
        <f>(IncomeStatement_Year1!J15+SUM(IncomeStatement_Year1!J21:J35)+IncomeStatement_Year1!J38)/2</f>
        <v>4538.4293543054737</v>
      </c>
      <c r="L23" s="11">
        <f>(IncomeStatement_Year1!K15+SUM(IncomeStatement_Year1!K21:K35)+IncomeStatement_Year1!K38)/2</f>
        <v>4552.1802620631115</v>
      </c>
      <c r="M23" s="11">
        <f>(IncomeStatement_Year1!L15+SUM(IncomeStatement_Year1!L21:L35)+IncomeStatement_Year1!L38)/2</f>
        <v>4567.017679327394</v>
      </c>
      <c r="N23" s="11">
        <f>(IncomeStatement_Year1!M15+SUM(IncomeStatement_Year1!M21:M35)+IncomeStatement_Year1!M38)/2</f>
        <v>4583.0489220753043</v>
      </c>
    </row>
    <row r="24" spans="1:14" x14ac:dyDescent="0.25">
      <c r="A24" s="4" t="s">
        <v>119</v>
      </c>
      <c r="B24" s="13">
        <f t="shared" ref="B24:N24" si="3">B23</f>
        <v>0</v>
      </c>
      <c r="C24" s="13">
        <f t="shared" si="3"/>
        <v>16085.084999999999</v>
      </c>
      <c r="D24" s="13">
        <f t="shared" si="3"/>
        <v>4465.42</v>
      </c>
      <c r="E24" s="13">
        <f t="shared" si="3"/>
        <v>4473.8536699999995</v>
      </c>
      <c r="F24" s="13">
        <f t="shared" si="3"/>
        <v>4482.8511361699993</v>
      </c>
      <c r="G24" s="13">
        <f t="shared" si="3"/>
        <v>4492.4675259311698</v>
      </c>
      <c r="H24" s="13">
        <f t="shared" si="3"/>
        <v>4502.7634679683506</v>
      </c>
      <c r="I24" s="13">
        <f t="shared" si="3"/>
        <v>4513.8056422426807</v>
      </c>
      <c r="J24" s="13">
        <f t="shared" si="3"/>
        <v>4525.6673850043499</v>
      </c>
      <c r="K24" s="13">
        <f t="shared" si="3"/>
        <v>4538.4293543054737</v>
      </c>
      <c r="L24" s="13">
        <f t="shared" si="3"/>
        <v>4552.1802620631115</v>
      </c>
      <c r="M24" s="13">
        <f t="shared" si="3"/>
        <v>4567.017679327394</v>
      </c>
      <c r="N24" s="13">
        <f t="shared" si="3"/>
        <v>4583.0489220753043</v>
      </c>
    </row>
    <row r="25" spans="1:14" x14ac:dyDescent="0.25">
      <c r="B25" s="12"/>
    </row>
    <row r="26" spans="1:14" x14ac:dyDescent="0.25">
      <c r="A26" t="s">
        <v>120</v>
      </c>
      <c r="B26" s="12"/>
    </row>
    <row r="27" spans="1:14" x14ac:dyDescent="0.25">
      <c r="A27" t="str">
        <f>LoanModule!C1</f>
        <v>SBA Loan</v>
      </c>
      <c r="B27" s="11">
        <f>LoanModule!F9</f>
        <v>0</v>
      </c>
      <c r="C27" s="11">
        <f>LoanModule!F10</f>
        <v>0</v>
      </c>
      <c r="D27" s="11">
        <f>LoanModule!F11</f>
        <v>0</v>
      </c>
      <c r="E27" s="11">
        <f>LoanModule!F12</f>
        <v>0</v>
      </c>
      <c r="F27" s="11">
        <f>LoanModule!F13</f>
        <v>0</v>
      </c>
      <c r="G27" s="11">
        <f>LoanModule!F14</f>
        <v>0</v>
      </c>
      <c r="H27" s="11">
        <f>LoanModule!F15</f>
        <v>0</v>
      </c>
      <c r="I27" s="11">
        <f>LoanModule!F16</f>
        <v>0</v>
      </c>
      <c r="J27" s="11">
        <f>LoanModule!F17</f>
        <v>0</v>
      </c>
      <c r="K27" s="11">
        <f>LoanModule!F18</f>
        <v>0</v>
      </c>
      <c r="L27" s="11">
        <f>LoanModule!F19</f>
        <v>0</v>
      </c>
      <c r="M27" s="11">
        <f>LoanModule!F20</f>
        <v>0</v>
      </c>
      <c r="N27" s="11">
        <f>LoanModule!F21</f>
        <v>0</v>
      </c>
    </row>
    <row r="28" spans="1:14" x14ac:dyDescent="0.25">
      <c r="A28" s="4" t="s">
        <v>121</v>
      </c>
      <c r="B28" s="13">
        <f t="shared" ref="B28:N28" si="4">SUM(B27:B27)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</row>
    <row r="29" spans="1:14" x14ac:dyDescent="0.25">
      <c r="B29" s="12"/>
    </row>
    <row r="30" spans="1:14" x14ac:dyDescent="0.25">
      <c r="A30" s="4" t="s">
        <v>122</v>
      </c>
      <c r="B30" s="14">
        <f t="shared" ref="B30:N30" si="5">B24+B28</f>
        <v>0</v>
      </c>
      <c r="C30" s="8">
        <f t="shared" si="5"/>
        <v>16085.084999999999</v>
      </c>
      <c r="D30" s="8">
        <f t="shared" si="5"/>
        <v>4465.42</v>
      </c>
      <c r="E30" s="8">
        <f t="shared" si="5"/>
        <v>4473.8536699999995</v>
      </c>
      <c r="F30" s="8">
        <f t="shared" si="5"/>
        <v>4482.8511361699993</v>
      </c>
      <c r="G30" s="8">
        <f t="shared" si="5"/>
        <v>4492.4675259311698</v>
      </c>
      <c r="H30" s="8">
        <f t="shared" si="5"/>
        <v>4502.7634679683506</v>
      </c>
      <c r="I30" s="8">
        <f t="shared" si="5"/>
        <v>4513.8056422426807</v>
      </c>
      <c r="J30" s="8">
        <f t="shared" si="5"/>
        <v>4525.6673850043499</v>
      </c>
      <c r="K30" s="8">
        <f t="shared" si="5"/>
        <v>4538.4293543054737</v>
      </c>
      <c r="L30" s="8">
        <f t="shared" si="5"/>
        <v>4552.1802620631115</v>
      </c>
      <c r="M30" s="8">
        <f t="shared" si="5"/>
        <v>4567.017679327394</v>
      </c>
      <c r="N30" s="8">
        <f t="shared" si="5"/>
        <v>4583.0489220753043</v>
      </c>
    </row>
    <row r="31" spans="1:14" x14ac:dyDescent="0.25">
      <c r="B31" s="12"/>
    </row>
    <row r="32" spans="1:14" x14ac:dyDescent="0.25">
      <c r="A32" t="s">
        <v>123</v>
      </c>
      <c r="B32" s="12"/>
    </row>
    <row r="33" spans="1:14" x14ac:dyDescent="0.25">
      <c r="A33" t="s">
        <v>124</v>
      </c>
      <c r="B33" s="11">
        <f>StartupCosts!B11</f>
        <v>0</v>
      </c>
      <c r="C33" s="5">
        <f t="shared" ref="C33:N33" si="6">B33</f>
        <v>0</v>
      </c>
      <c r="D33" s="11">
        <f t="shared" si="6"/>
        <v>0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11">
        <f t="shared" si="6"/>
        <v>0</v>
      </c>
      <c r="M33" s="11">
        <f t="shared" si="6"/>
        <v>0</v>
      </c>
      <c r="N33" s="11">
        <f t="shared" si="6"/>
        <v>0</v>
      </c>
    </row>
    <row r="34" spans="1:14" x14ac:dyDescent="0.25">
      <c r="A34" t="s">
        <v>125</v>
      </c>
      <c r="B34" s="11">
        <f>StartupCosts!B12</f>
        <v>0</v>
      </c>
      <c r="C34" s="11">
        <f>CashFlowStatement_Year1!C12+B34</f>
        <v>0</v>
      </c>
      <c r="D34" s="11">
        <f>CashFlowStatement_Year1!D12+C34</f>
        <v>0</v>
      </c>
      <c r="E34" s="11">
        <f>CashFlowStatement_Year1!E12+D34</f>
        <v>0</v>
      </c>
      <c r="F34" s="11">
        <f>CashFlowStatement_Year1!F12+E34</f>
        <v>0</v>
      </c>
      <c r="G34" s="11">
        <f>CashFlowStatement_Year1!G12+F34</f>
        <v>0</v>
      </c>
      <c r="H34" s="11">
        <f>CashFlowStatement_Year1!H12+G34</f>
        <v>0</v>
      </c>
      <c r="I34" s="11">
        <f>CashFlowStatement_Year1!I12+H34</f>
        <v>0</v>
      </c>
      <c r="J34" s="11">
        <f>CashFlowStatement_Year1!J12+I34</f>
        <v>0</v>
      </c>
      <c r="K34" s="11">
        <f>CashFlowStatement_Year1!K12+J34</f>
        <v>0</v>
      </c>
      <c r="L34" s="11">
        <f>CashFlowStatement_Year1!L12+K34</f>
        <v>0</v>
      </c>
      <c r="M34" s="11">
        <f>CashFlowStatement_Year1!M12+L34</f>
        <v>0</v>
      </c>
      <c r="N34" s="11">
        <f>CashFlowStatement_Year1!N12+M34</f>
        <v>0</v>
      </c>
    </row>
    <row r="35" spans="1:14" x14ac:dyDescent="0.25">
      <c r="A35" t="s">
        <v>21</v>
      </c>
      <c r="B35" s="11">
        <v>0</v>
      </c>
      <c r="C35" s="11">
        <f>B35+DATA!B31</f>
        <v>0</v>
      </c>
      <c r="D35" s="11">
        <f>C35+DATA!C31</f>
        <v>0</v>
      </c>
      <c r="E35" s="11">
        <f>D35+DATA!D31</f>
        <v>0</v>
      </c>
      <c r="F35" s="11">
        <f>E35+DATA!E31</f>
        <v>0</v>
      </c>
      <c r="G35" s="11">
        <f>F35+DATA!F31</f>
        <v>0</v>
      </c>
      <c r="H35" s="11">
        <f>G35+DATA!G31</f>
        <v>0</v>
      </c>
      <c r="I35" s="11">
        <f>H35+DATA!H31</f>
        <v>0</v>
      </c>
      <c r="J35" s="11">
        <f>I35+DATA!I31</f>
        <v>0</v>
      </c>
      <c r="K35" s="11">
        <f>J35+DATA!J31</f>
        <v>0</v>
      </c>
      <c r="L35" s="11">
        <f>K35+DATA!K31</f>
        <v>0</v>
      </c>
      <c r="M35" s="11">
        <f>L35+DATA!L31</f>
        <v>0</v>
      </c>
      <c r="N35" s="11">
        <f>M35+DATA!M31</f>
        <v>0</v>
      </c>
    </row>
    <row r="36" spans="1:14" x14ac:dyDescent="0.25">
      <c r="A36" t="s">
        <v>126</v>
      </c>
      <c r="B36" s="11">
        <f>B19-B30-B34-B33</f>
        <v>91500</v>
      </c>
      <c r="C36" s="11">
        <f>(B36+IncomeStatement_Year1!B46)-C35</f>
        <v>59029.374047619043</v>
      </c>
      <c r="D36" s="11">
        <f>(C36+IncomeStatement_Year1!C46)-D35</f>
        <v>50130.066084855629</v>
      </c>
      <c r="E36" s="11">
        <f>(D36+IncomeStatement_Year1!D46)-E35</f>
        <v>41558.01880206936</v>
      </c>
      <c r="F36" s="11">
        <f>(E36+IncomeStatement_Year1!E46)-F35</f>
        <v>33335.345022754569</v>
      </c>
      <c r="G36" s="11">
        <f>(F36+IncomeStatement_Year1!F46)-G35</f>
        <v>25495.279123780114</v>
      </c>
      <c r="H36" s="11">
        <f>(G36+IncomeStatement_Year1!G46)-H35</f>
        <v>18082.811414697004</v>
      </c>
      <c r="I36" s="11">
        <f>(H36+IncomeStatement_Year1!H46)-I35</f>
        <v>11633.50638167139</v>
      </c>
      <c r="J36" s="11">
        <f>(I36+IncomeStatement_Year1!I46)-J35</f>
        <v>5681.8160086349008</v>
      </c>
      <c r="K36" s="11">
        <f>(J36+IncomeStatement_Year1!J46)-K35</f>
        <v>266.4169504012998</v>
      </c>
      <c r="L36" s="11">
        <f>(K36+IncomeStatement_Year1!K46)-L35</f>
        <v>-4567.5385637509617</v>
      </c>
      <c r="M36" s="11">
        <f>(L36+IncomeStatement_Year1!L46)-M35</f>
        <v>-8767.8439957673545</v>
      </c>
      <c r="N36" s="11">
        <f>(M36+IncomeStatement_Year1!M46)-N35</f>
        <v>-12274.572946045009</v>
      </c>
    </row>
    <row r="37" spans="1:14" x14ac:dyDescent="0.25">
      <c r="A37" s="4" t="s">
        <v>127</v>
      </c>
      <c r="B37" s="14">
        <f>SUM(B33:B36)-B35</f>
        <v>91500</v>
      </c>
      <c r="C37" s="8">
        <f>SUM(C33:C36)-C35</f>
        <v>59029.374047619043</v>
      </c>
      <c r="D37" s="8">
        <f>SUM(D33:D36)-D35+SUM(BalanceSheet_Year1!C35:C35)</f>
        <v>50130.066084855629</v>
      </c>
      <c r="E37" s="8">
        <f>SUM(E33:E36)-E35+SUM(BalanceSheet_Year1!C35:D35)</f>
        <v>41558.01880206936</v>
      </c>
      <c r="F37" s="8">
        <f>SUM(F33:F36)-F35+SUM(BalanceSheet_Year1!C35:E35)</f>
        <v>33335.345022754569</v>
      </c>
      <c r="G37" s="8">
        <f>SUM(G33:G36)-G35+SUM(BalanceSheet_Year1!C35:F35)</f>
        <v>25495.279123780114</v>
      </c>
      <c r="H37" s="8">
        <f>SUM(H33:H36)-H35+SUM(BalanceSheet_Year1!C35:G35)</f>
        <v>18082.811414697004</v>
      </c>
      <c r="I37" s="8">
        <f>SUM(I33:I36)-I35+SUM(BalanceSheet_Year1!C35:H35)</f>
        <v>11633.50638167139</v>
      </c>
      <c r="J37" s="8">
        <f>SUM(J33:J36)-J35+SUM(BalanceSheet_Year1!C35:I35)</f>
        <v>5681.8160086349008</v>
      </c>
      <c r="K37" s="8">
        <f>SUM(K33:K36)-K35+SUM(BalanceSheet_Year1!C35:J35)</f>
        <v>266.4169504012998</v>
      </c>
      <c r="L37" s="8">
        <f>SUM(L33:L36)-L35+SUM(BalanceSheet_Year1!C35:K35)</f>
        <v>-4567.5385637509617</v>
      </c>
      <c r="M37" s="8">
        <f>SUM(M33:M36)-M35+SUM(BalanceSheet_Year1!C35:L35)</f>
        <v>-8767.8439957673545</v>
      </c>
      <c r="N37" s="8">
        <f>SUM(N33:N36)-N35+SUM(BalanceSheet_Year1!C35:M35)</f>
        <v>-12274.572946045009</v>
      </c>
    </row>
    <row r="38" spans="1:14" x14ac:dyDescent="0.25">
      <c r="B38" s="12"/>
    </row>
    <row r="39" spans="1:14" x14ac:dyDescent="0.25">
      <c r="A39" s="4" t="s">
        <v>128</v>
      </c>
      <c r="B39" s="14">
        <f t="shared" ref="B39:N39" si="7">B37+B30</f>
        <v>91500</v>
      </c>
      <c r="C39" s="8">
        <f t="shared" si="7"/>
        <v>75114.45904761905</v>
      </c>
      <c r="D39" s="8">
        <f t="shared" si="7"/>
        <v>54595.486084855627</v>
      </c>
      <c r="E39" s="8">
        <f t="shared" si="7"/>
        <v>46031.872472069357</v>
      </c>
      <c r="F39" s="8">
        <f t="shared" si="7"/>
        <v>37818.196158924569</v>
      </c>
      <c r="G39" s="8">
        <f t="shared" si="7"/>
        <v>29987.746649711284</v>
      </c>
      <c r="H39" s="8">
        <f t="shared" si="7"/>
        <v>22585.574882665354</v>
      </c>
      <c r="I39" s="8">
        <f t="shared" si="7"/>
        <v>16147.31202391407</v>
      </c>
      <c r="J39" s="8">
        <f t="shared" si="7"/>
        <v>10207.48339363925</v>
      </c>
      <c r="K39" s="8">
        <f t="shared" si="7"/>
        <v>4804.8463047067735</v>
      </c>
      <c r="L39" s="8">
        <f t="shared" si="7"/>
        <v>-15.358301687850144</v>
      </c>
      <c r="M39" s="8">
        <f t="shared" si="7"/>
        <v>-4200.8263164399605</v>
      </c>
      <c r="N39" s="8">
        <f t="shared" si="7"/>
        <v>-7691.524023969705</v>
      </c>
    </row>
    <row r="40" spans="1:14" x14ac:dyDescent="0.25">
      <c r="C40" s="5">
        <f>C19-C39</f>
        <v>15</v>
      </c>
      <c r="D40" s="5">
        <f t="shared" ref="D40:N40" si="8">D19-D39</f>
        <v>14835.857818659104</v>
      </c>
      <c r="E40" s="5">
        <f t="shared" si="8"/>
        <v>18051.74443287219</v>
      </c>
      <c r="F40" s="5">
        <f t="shared" si="8"/>
        <v>21292.686493151661</v>
      </c>
      <c r="G40" s="5">
        <f t="shared" si="8"/>
        <v>24561.836045890355</v>
      </c>
      <c r="H40" s="5">
        <f t="shared" si="8"/>
        <v>27863.148860932528</v>
      </c>
      <c r="I40" s="5">
        <f t="shared" si="8"/>
        <v>31201.509910773617</v>
      </c>
      <c r="J40" s="5">
        <f t="shared" si="8"/>
        <v>34582.895829470348</v>
      </c>
      <c r="K40" s="5">
        <f t="shared" si="8"/>
        <v>38012.912388651159</v>
      </c>
      <c r="L40" s="5">
        <f t="shared" si="8"/>
        <v>41498.030886379907</v>
      </c>
      <c r="M40" s="5">
        <f t="shared" si="8"/>
        <v>45045.716522120187</v>
      </c>
      <c r="N40" s="5">
        <f t="shared" si="8"/>
        <v>48664.576130564732</v>
      </c>
    </row>
    <row r="42" spans="1:14" x14ac:dyDescent="0.25">
      <c r="A42" t="s">
        <v>85</v>
      </c>
    </row>
    <row r="43" spans="1:14" x14ac:dyDescent="0.25">
      <c r="A43" t="s">
        <v>86</v>
      </c>
    </row>
    <row r="44" spans="1:14" x14ac:dyDescent="0.25">
      <c r="A44" t="s">
        <v>87</v>
      </c>
    </row>
    <row r="45" spans="1:14" x14ac:dyDescent="0.25">
      <c r="A45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10" sqref="A10:XFD10"/>
    </sheetView>
  </sheetViews>
  <sheetFormatPr defaultRowHeight="15" x14ac:dyDescent="0.25"/>
  <cols>
    <col min="1" max="1" width="40" bestFit="1" customWidth="1"/>
    <col min="2" max="13" width="12.85546875" bestFit="1" customWidth="1"/>
  </cols>
  <sheetData>
    <row r="1" spans="1:13" x14ac:dyDescent="0.25">
      <c r="A1" t="str">
        <f>DATA!B1</f>
        <v>Example Yoga Financial Projections</v>
      </c>
    </row>
    <row r="2" spans="1:13" x14ac:dyDescent="0.25">
      <c r="A2" t="s">
        <v>105</v>
      </c>
    </row>
    <row r="3" spans="1:13" x14ac:dyDescent="0.25">
      <c r="A3" t="s">
        <v>88</v>
      </c>
    </row>
    <row r="5" spans="1:13" x14ac:dyDescent="0.25">
      <c r="A5" t="s">
        <v>106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</row>
    <row r="7" spans="1:13" x14ac:dyDescent="0.25">
      <c r="A7" t="s">
        <v>107</v>
      </c>
    </row>
    <row r="8" spans="1:13" x14ac:dyDescent="0.25">
      <c r="A8" t="s">
        <v>108</v>
      </c>
    </row>
    <row r="9" spans="1:13" x14ac:dyDescent="0.25">
      <c r="A9" t="s">
        <v>109</v>
      </c>
      <c r="B9" s="11">
        <f>CashFlowStatement_Year2!B7+CashFlowStatement_Year2!B43</f>
        <v>-41365.9309691651</v>
      </c>
      <c r="C9" s="11">
        <f>CashFlowStatement_Year2!C7+CashFlowStatement_Year2!C43</f>
        <v>-44935.663606939954</v>
      </c>
      <c r="D9" s="11">
        <f>CashFlowStatement_Year2!D7+CashFlowStatement_Year2!D43</f>
        <v>-44236.532493973071</v>
      </c>
      <c r="E9" s="11">
        <f>CashFlowStatement_Year2!E7+CashFlowStatement_Year2!E43</f>
        <v>-42405.273040026266</v>
      </c>
      <c r="F9" s="11">
        <f>CashFlowStatement_Year2!F7+CashFlowStatement_Year2!F43</f>
        <v>-39313.773797818016</v>
      </c>
      <c r="G9" s="11">
        <f>CashFlowStatement_Year2!G7+CashFlowStatement_Year2!G43</f>
        <v>-34817.331645906175</v>
      </c>
      <c r="H9" s="11">
        <f>CashFlowStatement_Year2!H7+CashFlowStatement_Year2!H43</f>
        <v>-28752.678433873931</v>
      </c>
      <c r="I9" s="11">
        <f>CashFlowStatement_Year2!I7+CashFlowStatement_Year2!I43</f>
        <v>-20935.750807185232</v>
      </c>
      <c r="J9" s="11">
        <f>CashFlowStatement_Year2!J7+CashFlowStatement_Year2!J43</f>
        <v>-11159.171177333583</v>
      </c>
      <c r="K9" s="11">
        <f>CashFlowStatement_Year2!K7+CashFlowStatement_Year2!K43</f>
        <v>810.59643404817143</v>
      </c>
      <c r="L9" s="11">
        <f>CashFlowStatement_Year2!L7+CashFlowStatement_Year2!L43</f>
        <v>15236.456736218324</v>
      </c>
      <c r="M9" s="11">
        <f>CashFlowStatement_Year2!M7+CashFlowStatement_Year2!M43</f>
        <v>32414.306167577444</v>
      </c>
    </row>
    <row r="10" spans="1:13" x14ac:dyDescent="0.25">
      <c r="A10" t="s">
        <v>110</v>
      </c>
      <c r="B10" s="11">
        <f>IncomeStatement_Year2!B13*DATA!B3</f>
        <v>281.70625753299242</v>
      </c>
      <c r="C10" s="11">
        <f>IncomeStatement_Year2!C13*DATA!B3</f>
        <v>284.52332010832237</v>
      </c>
      <c r="D10" s="11">
        <f>IncomeStatement_Year2!D13*DATA!B3</f>
        <v>287.36855330940557</v>
      </c>
      <c r="E10" s="11">
        <f>IncomeStatement_Year2!E13*DATA!B3</f>
        <v>290.2422388424996</v>
      </c>
      <c r="F10" s="11">
        <f>IncomeStatement_Year2!F13*DATA!B3</f>
        <v>293.14466123092461</v>
      </c>
      <c r="G10" s="11">
        <f>IncomeStatement_Year2!G13*DATA!B3</f>
        <v>296.07610784323384</v>
      </c>
      <c r="H10" s="11">
        <f>IncomeStatement_Year2!H13*DATA!B3</f>
        <v>299.03686892166616</v>
      </c>
      <c r="I10" s="11">
        <f>IncomeStatement_Year2!I13*DATA!B3</f>
        <v>302.02723761088282</v>
      </c>
      <c r="J10" s="11">
        <f>IncomeStatement_Year2!J13*DATA!B3</f>
        <v>305.04750998699166</v>
      </c>
      <c r="K10" s="11">
        <f>IncomeStatement_Year2!K13*DATA!B3</f>
        <v>308.09798508686157</v>
      </c>
      <c r="L10" s="11">
        <f>IncomeStatement_Year2!L13*DATA!B3</f>
        <v>311.1789649377302</v>
      </c>
      <c r="M10" s="11">
        <f>IncomeStatement_Year2!M13*DATA!B3</f>
        <v>314.29075458710753</v>
      </c>
    </row>
    <row r="11" spans="1:13" x14ac:dyDescent="0.25">
      <c r="A11" s="4" t="s">
        <v>111</v>
      </c>
      <c r="B11" s="13">
        <f t="shared" ref="B11:M11" si="0">SUM(B9:B10)</f>
        <v>-41084.224711632109</v>
      </c>
      <c r="C11" s="13">
        <f t="shared" si="0"/>
        <v>-44651.140286831629</v>
      </c>
      <c r="D11" s="13">
        <f t="shared" si="0"/>
        <v>-43949.163940663668</v>
      </c>
      <c r="E11" s="13">
        <f t="shared" si="0"/>
        <v>-42115.03080118377</v>
      </c>
      <c r="F11" s="13">
        <f t="shared" si="0"/>
        <v>-39020.629136587093</v>
      </c>
      <c r="G11" s="13">
        <f t="shared" si="0"/>
        <v>-34521.255538062942</v>
      </c>
      <c r="H11" s="13">
        <f t="shared" si="0"/>
        <v>-28453.641564952264</v>
      </c>
      <c r="I11" s="13">
        <f t="shared" si="0"/>
        <v>-20633.723569574347</v>
      </c>
      <c r="J11" s="13">
        <f t="shared" si="0"/>
        <v>-10854.123667346592</v>
      </c>
      <c r="K11" s="13">
        <f t="shared" si="0"/>
        <v>1118.6944191350331</v>
      </c>
      <c r="L11" s="13">
        <f t="shared" si="0"/>
        <v>15547.635701156054</v>
      </c>
      <c r="M11" s="13">
        <f t="shared" si="0"/>
        <v>32728.59692216455</v>
      </c>
    </row>
    <row r="13" spans="1:13" x14ac:dyDescent="0.25">
      <c r="A13" t="s">
        <v>112</v>
      </c>
    </row>
    <row r="14" spans="1:13" x14ac:dyDescent="0.25">
      <c r="A14" t="s">
        <v>14</v>
      </c>
      <c r="B14" s="11">
        <f>IF(B5=DATA!E23,DATA!B23,0)+BalanceSheet_Year1!N14</f>
        <v>8500</v>
      </c>
      <c r="C14" s="11">
        <f>IF(C5=DATA!E23,DATA!B23,0)+B14</f>
        <v>8500</v>
      </c>
      <c r="D14" s="11">
        <f>IF(D5=DATA!E23,DATA!B23,0)+C14</f>
        <v>8500</v>
      </c>
      <c r="E14" s="11">
        <f>IF(E5=DATA!E23,DATA!B23,0)+D14</f>
        <v>8500</v>
      </c>
      <c r="F14" s="11">
        <f>IF(F5=DATA!E23,DATA!B23,0)+E14</f>
        <v>8500</v>
      </c>
      <c r="G14" s="11">
        <f>IF(G5=DATA!E23,DATA!B23,0)+F14</f>
        <v>8500</v>
      </c>
      <c r="H14" s="11">
        <f>IF(H5=DATA!E23,DATA!B23,0)+G14</f>
        <v>8500</v>
      </c>
      <c r="I14" s="11">
        <f>IF(I5=DATA!E23,DATA!B23,0)+H14</f>
        <v>8500</v>
      </c>
      <c r="J14" s="11">
        <f>IF(J5=DATA!E23,DATA!B23,0)+I14</f>
        <v>8500</v>
      </c>
      <c r="K14" s="11">
        <f>IF(K5=DATA!E23,DATA!B23,0)+J14</f>
        <v>8500</v>
      </c>
      <c r="L14" s="11">
        <f>IF(L5=DATA!E23,DATA!B23,0)+K14</f>
        <v>8500</v>
      </c>
      <c r="M14" s="11">
        <f>IF(M5=DATA!E23,DATA!B23,0)+L14</f>
        <v>8500</v>
      </c>
    </row>
    <row r="15" spans="1:13" x14ac:dyDescent="0.25">
      <c r="A15" t="s">
        <v>239</v>
      </c>
      <c r="B15" s="11">
        <f>IF(B5=DATA!E26,DATA!B26,0)+BalanceSheet_Year1!N15</f>
        <v>82000</v>
      </c>
      <c r="C15" s="11">
        <f>IF(C5=DATA!E26,DATA!B26,0)+B15</f>
        <v>82000</v>
      </c>
      <c r="D15" s="11">
        <f>IF(D5=DATA!E26,DATA!B26,0)+C15</f>
        <v>82000</v>
      </c>
      <c r="E15" s="11">
        <f>IF(E5=DATA!E26,DATA!B26,0)+D15</f>
        <v>82000</v>
      </c>
      <c r="F15" s="11">
        <f>IF(F5=DATA!E26,DATA!B26,0)+E15</f>
        <v>82000</v>
      </c>
      <c r="G15" s="11">
        <f>IF(G5=DATA!E26,DATA!B26,0)+F15</f>
        <v>82000</v>
      </c>
      <c r="H15" s="11">
        <f>IF(H5=DATA!E26,DATA!B26,0)+G15</f>
        <v>82000</v>
      </c>
      <c r="I15" s="11">
        <f>IF(I5=DATA!E26,DATA!B26,0)+H15</f>
        <v>82000</v>
      </c>
      <c r="J15" s="11">
        <f>IF(J5=DATA!E26,DATA!B26,0)+I15</f>
        <v>82000</v>
      </c>
      <c r="K15" s="11">
        <f>IF(K5=DATA!E26,DATA!B26,0)+J15</f>
        <v>82000</v>
      </c>
      <c r="L15" s="11">
        <f>IF(L5=DATA!E26,DATA!B26,0)+K15</f>
        <v>82000</v>
      </c>
      <c r="M15" s="11">
        <f>IF(M5=DATA!E26,DATA!B26,0)+L15</f>
        <v>82000</v>
      </c>
    </row>
    <row r="16" spans="1:13" x14ac:dyDescent="0.25">
      <c r="A16" t="s">
        <v>113</v>
      </c>
      <c r="B16" s="11">
        <f>-(IncomeStatement_Year2!B39-BalanceSheet_Year1!N16)</f>
        <v>-14005.95238095238</v>
      </c>
      <c r="C16" s="11">
        <f>-(IncomeStatement_Year2!C39-B16)</f>
        <v>-15083.333333333332</v>
      </c>
      <c r="D16" s="11">
        <f>-(IncomeStatement_Year2!D39-C16)</f>
        <v>-16160.714285714284</v>
      </c>
      <c r="E16" s="11">
        <f>-(IncomeStatement_Year2!E39-D16)</f>
        <v>-17238.095238095237</v>
      </c>
      <c r="F16" s="11">
        <f>-(IncomeStatement_Year2!F39-E16)</f>
        <v>-18315.476190476191</v>
      </c>
      <c r="G16" s="11">
        <f>-(IncomeStatement_Year2!G39-F16)</f>
        <v>-19392.857142857145</v>
      </c>
      <c r="H16" s="11">
        <f>-(IncomeStatement_Year2!H39-G16)</f>
        <v>-20470.238095238099</v>
      </c>
      <c r="I16" s="11">
        <f>-(IncomeStatement_Year2!I39-H16)</f>
        <v>-21547.619047619053</v>
      </c>
      <c r="J16" s="11">
        <f>-(IncomeStatement_Year2!J39-I16)</f>
        <v>-22625.000000000007</v>
      </c>
      <c r="K16" s="11">
        <f>-(IncomeStatement_Year2!K39-J16)</f>
        <v>-23702.380952380961</v>
      </c>
      <c r="L16" s="11">
        <f>-(IncomeStatement_Year2!L39-K16)</f>
        <v>-24779.761904761916</v>
      </c>
      <c r="M16" s="11">
        <f>-(IncomeStatement_Year2!M39-L16)</f>
        <v>-25857.14285714287</v>
      </c>
    </row>
    <row r="17" spans="1:13" x14ac:dyDescent="0.25">
      <c r="A17" s="4" t="s">
        <v>114</v>
      </c>
      <c r="B17" s="13">
        <f t="shared" ref="B17:M17" si="1">SUM(B14:B16)</f>
        <v>76494.047619047618</v>
      </c>
      <c r="C17" s="13">
        <f t="shared" si="1"/>
        <v>75416.666666666672</v>
      </c>
      <c r="D17" s="13">
        <f t="shared" si="1"/>
        <v>74339.28571428571</v>
      </c>
      <c r="E17" s="13">
        <f t="shared" si="1"/>
        <v>73261.904761904763</v>
      </c>
      <c r="F17" s="13">
        <f t="shared" si="1"/>
        <v>72184.523809523816</v>
      </c>
      <c r="G17" s="13">
        <f t="shared" si="1"/>
        <v>71107.142857142855</v>
      </c>
      <c r="H17" s="13">
        <f t="shared" si="1"/>
        <v>70029.761904761894</v>
      </c>
      <c r="I17" s="13">
        <f t="shared" si="1"/>
        <v>68952.380952380947</v>
      </c>
      <c r="J17" s="13">
        <f t="shared" si="1"/>
        <v>67875</v>
      </c>
      <c r="K17" s="13">
        <f t="shared" si="1"/>
        <v>66797.619047619039</v>
      </c>
      <c r="L17" s="13">
        <f t="shared" si="1"/>
        <v>65720.238095238077</v>
      </c>
      <c r="M17" s="13">
        <f t="shared" si="1"/>
        <v>64642.85714285713</v>
      </c>
    </row>
    <row r="19" spans="1:13" x14ac:dyDescent="0.25">
      <c r="A19" s="4" t="s">
        <v>115</v>
      </c>
      <c r="B19" s="8">
        <f t="shared" ref="B19:M19" si="2">B11+B17</f>
        <v>35409.82290741551</v>
      </c>
      <c r="C19" s="8">
        <f t="shared" si="2"/>
        <v>30765.526379835042</v>
      </c>
      <c r="D19" s="8">
        <f t="shared" si="2"/>
        <v>30390.121773622042</v>
      </c>
      <c r="E19" s="8">
        <f t="shared" si="2"/>
        <v>31146.873960720994</v>
      </c>
      <c r="F19" s="8">
        <f t="shared" si="2"/>
        <v>33163.894672936724</v>
      </c>
      <c r="G19" s="8">
        <f t="shared" si="2"/>
        <v>36585.887319079913</v>
      </c>
      <c r="H19" s="8">
        <f t="shared" si="2"/>
        <v>41576.120339809626</v>
      </c>
      <c r="I19" s="8">
        <f t="shared" si="2"/>
        <v>48318.657382806603</v>
      </c>
      <c r="J19" s="8">
        <f t="shared" si="2"/>
        <v>57020.87633265341</v>
      </c>
      <c r="K19" s="8">
        <f t="shared" si="2"/>
        <v>67916.313466754073</v>
      </c>
      <c r="L19" s="8">
        <f t="shared" si="2"/>
        <v>81267.873796394124</v>
      </c>
      <c r="M19" s="8">
        <f t="shared" si="2"/>
        <v>97371.45406502168</v>
      </c>
    </row>
    <row r="21" spans="1:13" x14ac:dyDescent="0.25">
      <c r="A21" s="4" t="s">
        <v>116</v>
      </c>
    </row>
    <row r="22" spans="1:13" x14ac:dyDescent="0.25">
      <c r="A22" t="s">
        <v>117</v>
      </c>
    </row>
    <row r="23" spans="1:13" x14ac:dyDescent="0.25">
      <c r="A23" t="s">
        <v>118</v>
      </c>
      <c r="B23" s="11">
        <f>(IncomeStatement_Year2!B15+SUM(IncomeStatement_Year2!B21:B35)+IncomeStatement_Year2!B38)/2</f>
        <v>16115.055606746571</v>
      </c>
      <c r="C23" s="11">
        <f>(IncomeStatement_Year2!C15+SUM(IncomeStatement_Year2!C21:C35)+IncomeStatement_Year2!C38)/2</f>
        <v>4495.5632555122174</v>
      </c>
      <c r="D23" s="11">
        <f>(IncomeStatement_Year2!D15+SUM(IncomeStatement_Year2!D21:D35)+IncomeStatement_Year2!D38)/2</f>
        <v>4504.1711737082169</v>
      </c>
      <c r="E23" s="11">
        <f>(IncomeStatement_Year2!E15+SUM(IncomeStatement_Year2!E21:E35)+IncomeStatement_Year2!E38)/2</f>
        <v>4513.3445033718172</v>
      </c>
      <c r="F23" s="11">
        <f>(IncomeStatement_Year2!F15+SUM(IncomeStatement_Year2!F21:F35)+IncomeStatement_Year2!F38)/2</f>
        <v>4523.1383879499799</v>
      </c>
      <c r="G23" s="11">
        <f>(IncomeStatement_Year2!G15+SUM(IncomeStatement_Year2!G21:G35)+IncomeStatement_Year2!G38)/2</f>
        <v>4533.6134723134692</v>
      </c>
      <c r="H23" s="11">
        <f>(IncomeStatement_Year2!H15+SUM(IncomeStatement_Year2!H21:H35)+IncomeStatement_Year2!H38)/2</f>
        <v>4544.8364527710764</v>
      </c>
      <c r="I23" s="11">
        <f>(IncomeStatement_Year2!I15+SUM(IncomeStatement_Year2!I21:I35)+IncomeStatement_Year2!I38)/2</f>
        <v>4556.8806820839955</v>
      </c>
      <c r="J23" s="11">
        <f>(IncomeStatement_Year2!J15+SUM(IncomeStatement_Year2!J21:J35)+IncomeStatement_Year2!J38)/2</f>
        <v>4569.8268349803284</v>
      </c>
      <c r="K23" s="11">
        <f>(IncomeStatement_Year2!K15+SUM(IncomeStatement_Year2!K21:K35)+IncomeStatement_Year2!K38)/2</f>
        <v>4583.7636402197495</v>
      </c>
      <c r="L23" s="11">
        <f>(IncomeStatement_Year2!L15+SUM(IncomeStatement_Year2!L21:L35)+IncomeStatement_Year2!L38)/2</f>
        <v>4598.7886858633101</v>
      </c>
      <c r="M23" s="11">
        <f>(IncomeStatement_Year2!M15+SUM(IncomeStatement_Year2!M21:M35)+IncomeStatement_Year2!M38)/2</f>
        <v>4615.0093050688884</v>
      </c>
    </row>
    <row r="24" spans="1:13" x14ac:dyDescent="0.25">
      <c r="A24" s="4" t="s">
        <v>119</v>
      </c>
      <c r="B24" s="13">
        <f t="shared" ref="B24:M24" si="3">B23</f>
        <v>16115.055606746571</v>
      </c>
      <c r="C24" s="13">
        <f t="shared" si="3"/>
        <v>4495.5632555122174</v>
      </c>
      <c r="D24" s="13">
        <f t="shared" si="3"/>
        <v>4504.1711737082169</v>
      </c>
      <c r="E24" s="13">
        <f t="shared" si="3"/>
        <v>4513.3445033718172</v>
      </c>
      <c r="F24" s="13">
        <f t="shared" si="3"/>
        <v>4523.1383879499799</v>
      </c>
      <c r="G24" s="13">
        <f t="shared" si="3"/>
        <v>4533.6134723134692</v>
      </c>
      <c r="H24" s="13">
        <f t="shared" si="3"/>
        <v>4544.8364527710764</v>
      </c>
      <c r="I24" s="13">
        <f t="shared" si="3"/>
        <v>4556.8806820839955</v>
      </c>
      <c r="J24" s="13">
        <f t="shared" si="3"/>
        <v>4569.8268349803284</v>
      </c>
      <c r="K24" s="13">
        <f t="shared" si="3"/>
        <v>4583.7636402197495</v>
      </c>
      <c r="L24" s="13">
        <f t="shared" si="3"/>
        <v>4598.7886858633101</v>
      </c>
      <c r="M24" s="13">
        <f t="shared" si="3"/>
        <v>4615.0093050688884</v>
      </c>
    </row>
    <row r="26" spans="1:13" x14ac:dyDescent="0.25">
      <c r="A26" t="s">
        <v>120</v>
      </c>
    </row>
    <row r="27" spans="1:13" x14ac:dyDescent="0.25">
      <c r="A27" t="str">
        <f>LoanModule!C1</f>
        <v>SBA Loan</v>
      </c>
      <c r="B27" s="11">
        <f>LoanModule!F22</f>
        <v>0</v>
      </c>
      <c r="C27" s="11">
        <f>LoanModule!F23</f>
        <v>0</v>
      </c>
      <c r="D27" s="11">
        <f>LoanModule!F24</f>
        <v>0</v>
      </c>
      <c r="E27" s="11">
        <f>LoanModule!F25</f>
        <v>0</v>
      </c>
      <c r="F27" s="11">
        <f>LoanModule!F26</f>
        <v>0</v>
      </c>
      <c r="G27" s="11">
        <f>LoanModule!F27</f>
        <v>0</v>
      </c>
      <c r="H27" s="11">
        <f>LoanModule!F28</f>
        <v>0</v>
      </c>
      <c r="I27" s="11">
        <f>LoanModule!F29</f>
        <v>0</v>
      </c>
      <c r="J27" s="11">
        <f>LoanModule!F30</f>
        <v>0</v>
      </c>
      <c r="K27" s="11">
        <f>LoanModule!F31</f>
        <v>0</v>
      </c>
      <c r="L27" s="11">
        <f>LoanModule!F32</f>
        <v>0</v>
      </c>
      <c r="M27" s="11">
        <f>LoanModule!F33</f>
        <v>0</v>
      </c>
    </row>
    <row r="28" spans="1:13" x14ac:dyDescent="0.25">
      <c r="A28" s="4" t="s">
        <v>121</v>
      </c>
      <c r="B28" s="13">
        <f t="shared" ref="B28:M28" si="4">SUM(B27:B27)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</row>
    <row r="30" spans="1:13" x14ac:dyDescent="0.25">
      <c r="A30" s="4" t="s">
        <v>122</v>
      </c>
      <c r="B30" s="8">
        <f t="shared" ref="B30:M30" si="5">B24+B28</f>
        <v>16115.055606746571</v>
      </c>
      <c r="C30" s="8">
        <f t="shared" si="5"/>
        <v>4495.5632555122174</v>
      </c>
      <c r="D30" s="8">
        <f t="shared" si="5"/>
        <v>4504.1711737082169</v>
      </c>
      <c r="E30" s="8">
        <f t="shared" si="5"/>
        <v>4513.3445033718172</v>
      </c>
      <c r="F30" s="8">
        <f t="shared" si="5"/>
        <v>4523.1383879499799</v>
      </c>
      <c r="G30" s="8">
        <f t="shared" si="5"/>
        <v>4533.6134723134692</v>
      </c>
      <c r="H30" s="8">
        <f t="shared" si="5"/>
        <v>4544.8364527710764</v>
      </c>
      <c r="I30" s="8">
        <f t="shared" si="5"/>
        <v>4556.8806820839955</v>
      </c>
      <c r="J30" s="8">
        <f t="shared" si="5"/>
        <v>4569.8268349803284</v>
      </c>
      <c r="K30" s="8">
        <f t="shared" si="5"/>
        <v>4583.7636402197495</v>
      </c>
      <c r="L30" s="8">
        <f t="shared" si="5"/>
        <v>4598.7886858633101</v>
      </c>
      <c r="M30" s="8">
        <f t="shared" si="5"/>
        <v>4615.0093050688884</v>
      </c>
    </row>
    <row r="32" spans="1:13" x14ac:dyDescent="0.25">
      <c r="A32" t="s">
        <v>123</v>
      </c>
    </row>
    <row r="33" spans="1:13" x14ac:dyDescent="0.25">
      <c r="A33" t="s">
        <v>124</v>
      </c>
      <c r="B33" s="11">
        <f>BalanceSheet_Year1!N33</f>
        <v>0</v>
      </c>
      <c r="C33" s="11">
        <f t="shared" ref="C33:M33" si="6">B33</f>
        <v>0</v>
      </c>
      <c r="D33" s="11">
        <f t="shared" si="6"/>
        <v>0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11">
        <f t="shared" si="6"/>
        <v>0</v>
      </c>
      <c r="M33" s="11">
        <f t="shared" si="6"/>
        <v>0</v>
      </c>
    </row>
    <row r="34" spans="1:13" x14ac:dyDescent="0.25">
      <c r="A34" t="s">
        <v>125</v>
      </c>
      <c r="B34" s="11">
        <f>CashFlowStatement_Year2!B12+BalanceSheet_Year1!N34</f>
        <v>0</v>
      </c>
      <c r="C34" s="11">
        <f>CashFlowStatement_Year2!C12+B34</f>
        <v>0</v>
      </c>
      <c r="D34" s="11">
        <f>CashFlowStatement_Year2!D12+C34</f>
        <v>0</v>
      </c>
      <c r="E34" s="11">
        <f>CashFlowStatement_Year2!E12+D34</f>
        <v>0</v>
      </c>
      <c r="F34" s="11">
        <f>CashFlowStatement_Year2!F12+E34</f>
        <v>0</v>
      </c>
      <c r="G34" s="11">
        <f>CashFlowStatement_Year2!G12+F34</f>
        <v>0</v>
      </c>
      <c r="H34" s="11">
        <f>CashFlowStatement_Year2!H12+G34</f>
        <v>0</v>
      </c>
      <c r="I34" s="11">
        <f>CashFlowStatement_Year2!I12+H34</f>
        <v>0</v>
      </c>
      <c r="J34" s="11">
        <f>CashFlowStatement_Year2!J12+I34</f>
        <v>0</v>
      </c>
      <c r="K34" s="11">
        <f>CashFlowStatement_Year2!K12+J34</f>
        <v>0</v>
      </c>
      <c r="L34" s="11">
        <f>CashFlowStatement_Year2!L12+K34</f>
        <v>0</v>
      </c>
      <c r="M34" s="11">
        <f>CashFlowStatement_Year2!M12+L34</f>
        <v>0</v>
      </c>
    </row>
    <row r="35" spans="1:13" x14ac:dyDescent="0.25">
      <c r="A35" t="s">
        <v>21</v>
      </c>
      <c r="B35" s="11">
        <f>BalanceSheet_Year1!N35+DATA!N31</f>
        <v>0</v>
      </c>
      <c r="C35" s="11">
        <f>B35+DATA!O31</f>
        <v>0</v>
      </c>
      <c r="D35" s="11">
        <f>C35+DATA!P31</f>
        <v>0</v>
      </c>
      <c r="E35" s="11">
        <f>D35+DATA!Q31</f>
        <v>0</v>
      </c>
      <c r="F35" s="11">
        <f>E35+DATA!R31</f>
        <v>0</v>
      </c>
      <c r="G35" s="11">
        <f>F35+DATA!S31</f>
        <v>0</v>
      </c>
      <c r="H35" s="11">
        <f>G35+DATA!T31</f>
        <v>0</v>
      </c>
      <c r="I35" s="11">
        <f>H35+DATA!U31</f>
        <v>0</v>
      </c>
      <c r="J35" s="11">
        <f>I35+DATA!V31</f>
        <v>0</v>
      </c>
      <c r="K35" s="11">
        <f>J35+DATA!W31</f>
        <v>0</v>
      </c>
      <c r="L35" s="11">
        <f>K35+DATA!X31</f>
        <v>0</v>
      </c>
      <c r="M35" s="11">
        <f>L35+DATA!Y31</f>
        <v>0</v>
      </c>
    </row>
    <row r="36" spans="1:13" x14ac:dyDescent="0.25">
      <c r="A36" t="s">
        <v>126</v>
      </c>
      <c r="B36" s="11">
        <f>(BalanceSheet_Year1!N36+IncomeStatement_Year2!B46)-B35</f>
        <v>-38073.768645506585</v>
      </c>
      <c r="C36" s="11">
        <f>(B36+IncomeStatement_Year2!C46)-C35</f>
        <v>-39756.671767552514</v>
      </c>
      <c r="D36" s="11">
        <f>(C36+IncomeStatement_Year2!D46)-D35</f>
        <v>-40488.229206602162</v>
      </c>
      <c r="E36" s="11">
        <f>(D36+IncomeStatement_Year2!E46)-E35</f>
        <v>-40166.561707023677</v>
      </c>
      <c r="F36" s="11">
        <f>(E36+IncomeStatement_Year2!F46)-F35</f>
        <v>-38676.856701529512</v>
      </c>
      <c r="G36" s="11">
        <f>(F36+IncomeStatement_Year2!G46)-G35</f>
        <v>-35889.929170396703</v>
      </c>
      <c r="H36" s="11">
        <f>(G36+IncomeStatement_Year2!H46)-H35</f>
        <v>-31660.602017638252</v>
      </c>
      <c r="I36" s="11">
        <f>(H36+IncomeStatement_Year2!I46)-I35</f>
        <v>-25825.885127010923</v>
      </c>
      <c r="J36" s="11">
        <f>(I36+IncomeStatement_Year2!J46)-J35</f>
        <v>-18202.929651422382</v>
      </c>
      <c r="K36" s="11">
        <f>(J36+IncomeStatement_Year2!K46)-K35</f>
        <v>-8586.7311689875351</v>
      </c>
      <c r="L36" s="11">
        <f>(K36+IncomeStatement_Year2!L46)-L35</f>
        <v>3252.447931487166</v>
      </c>
      <c r="M36" s="11">
        <f>(L36+IncomeStatement_Year2!M46)-M35</f>
        <v>17571.970137409051</v>
      </c>
    </row>
    <row r="37" spans="1:13" x14ac:dyDescent="0.25">
      <c r="A37" s="4" t="s">
        <v>127</v>
      </c>
      <c r="B37" s="8">
        <f>SUM(B33:B36)-B35+SUM(BalanceSheet_Year1!C35:N35)</f>
        <v>-38073.768645506585</v>
      </c>
      <c r="C37" s="8">
        <f>SUM(C33:C36)-C35+SUM(BalanceSheet_Year1!C35:N35)+SUM(BalanceSheet_Year2!B35:B35)</f>
        <v>-39756.671767552514</v>
      </c>
      <c r="D37" s="8">
        <f>SUM(D33:D36)-D35+SUM(BalanceSheet_Year1!C35:N35)+SUM(BalanceSheet_Year2!B35:C35)</f>
        <v>-40488.229206602162</v>
      </c>
      <c r="E37" s="8">
        <f>SUM(E33:E36)-E35+SUM(BalanceSheet_Year1!C35:N35)+SUM(BalanceSheet_Year2!B35:D35)</f>
        <v>-40166.561707023677</v>
      </c>
      <c r="F37" s="8">
        <f>SUM(F33:F36)-F35+SUM(BalanceSheet_Year1!C35:N35)+SUM(BalanceSheet_Year2!B35:E35)</f>
        <v>-38676.856701529512</v>
      </c>
      <c r="G37" s="8">
        <f>SUM(G33:G36)-G35+SUM(BalanceSheet_Year1!C35:N35)+SUM(BalanceSheet_Year2!B35:F35)</f>
        <v>-35889.929170396703</v>
      </c>
      <c r="H37" s="8">
        <f>SUM(H33:H36)-H35+SUM(BalanceSheet_Year1!C35:N35)+SUM(BalanceSheet_Year2!B35:G35)</f>
        <v>-31660.602017638252</v>
      </c>
      <c r="I37" s="8">
        <f>SUM(I33:I36)-I35+SUM(BalanceSheet_Year1!C35:N35)+SUM(BalanceSheet_Year2!B35:H35)</f>
        <v>-25825.885127010923</v>
      </c>
      <c r="J37" s="8">
        <f>SUM(J33:J36)-J35+SUM(BalanceSheet_Year1!C35:N35)+SUM(BalanceSheet_Year2!B35:I35)</f>
        <v>-18202.929651422382</v>
      </c>
      <c r="K37" s="8">
        <f>SUM(K33:K36)-K35+SUM(BalanceSheet_Year1!C35:N35)+SUM(BalanceSheet_Year2!B35:J35)</f>
        <v>-8586.7311689875351</v>
      </c>
      <c r="L37" s="8">
        <f>SUM(L33:L36)-L35+SUM(BalanceSheet_Year1!C35:N35)+SUM(BalanceSheet_Year2!B35:K35)</f>
        <v>3252.447931487166</v>
      </c>
      <c r="M37" s="8">
        <f>SUM(M33:M36)-M35+SUM(BalanceSheet_Year1!C35:N35)+SUM(BalanceSheet_Year2!B35:L35)</f>
        <v>17571.970137409051</v>
      </c>
    </row>
    <row r="39" spans="1:13" x14ac:dyDescent="0.25">
      <c r="A39" s="4" t="s">
        <v>128</v>
      </c>
      <c r="B39" s="8">
        <f t="shared" ref="B39:M39" si="7">B37+B30</f>
        <v>-21958.713038760012</v>
      </c>
      <c r="C39" s="8">
        <f t="shared" si="7"/>
        <v>-35261.1085120403</v>
      </c>
      <c r="D39" s="8">
        <f t="shared" si="7"/>
        <v>-35984.058032893947</v>
      </c>
      <c r="E39" s="8">
        <f t="shared" si="7"/>
        <v>-35653.21720365186</v>
      </c>
      <c r="F39" s="8">
        <f t="shared" si="7"/>
        <v>-34153.718313579535</v>
      </c>
      <c r="G39" s="8">
        <f t="shared" si="7"/>
        <v>-31356.315698083235</v>
      </c>
      <c r="H39" s="8">
        <f t="shared" si="7"/>
        <v>-27115.765564867175</v>
      </c>
      <c r="I39" s="8">
        <f t="shared" si="7"/>
        <v>-21269.004444926926</v>
      </c>
      <c r="J39" s="8">
        <f t="shared" si="7"/>
        <v>-13633.102816442053</v>
      </c>
      <c r="K39" s="8">
        <f t="shared" si="7"/>
        <v>-4002.9675287677856</v>
      </c>
      <c r="L39" s="8">
        <f t="shared" si="7"/>
        <v>7851.2366173504761</v>
      </c>
      <c r="M39" s="8">
        <f t="shared" si="7"/>
        <v>22186.979442477939</v>
      </c>
    </row>
    <row r="42" spans="1:13" x14ac:dyDescent="0.25">
      <c r="A42" t="s">
        <v>85</v>
      </c>
    </row>
    <row r="43" spans="1:13" x14ac:dyDescent="0.25">
      <c r="A43" t="s">
        <v>86</v>
      </c>
    </row>
    <row r="44" spans="1:13" x14ac:dyDescent="0.25">
      <c r="A44" t="s">
        <v>87</v>
      </c>
    </row>
    <row r="45" spans="1:13" x14ac:dyDescent="0.25">
      <c r="A45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10" sqref="A10:XFD10"/>
    </sheetView>
  </sheetViews>
  <sheetFormatPr defaultRowHeight="15" x14ac:dyDescent="0.25"/>
  <cols>
    <col min="1" max="1" width="40" bestFit="1" customWidth="1"/>
    <col min="2" max="10" width="12.85546875" bestFit="1" customWidth="1"/>
    <col min="11" max="13" width="15.28515625" bestFit="1" customWidth="1"/>
  </cols>
  <sheetData>
    <row r="1" spans="1:13" x14ac:dyDescent="0.25">
      <c r="A1" t="str">
        <f>DATA!B1</f>
        <v>Example Yoga Financial Projections</v>
      </c>
    </row>
    <row r="2" spans="1:13" x14ac:dyDescent="0.25">
      <c r="A2" t="s">
        <v>105</v>
      </c>
    </row>
    <row r="3" spans="1:13" x14ac:dyDescent="0.25">
      <c r="A3" t="s">
        <v>89</v>
      </c>
    </row>
    <row r="5" spans="1:13" x14ac:dyDescent="0.25">
      <c r="A5" t="s">
        <v>106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</row>
    <row r="7" spans="1:13" x14ac:dyDescent="0.25">
      <c r="A7" t="s">
        <v>107</v>
      </c>
    </row>
    <row r="8" spans="1:13" x14ac:dyDescent="0.25">
      <c r="A8" t="s">
        <v>108</v>
      </c>
    </row>
    <row r="9" spans="1:13" x14ac:dyDescent="0.25">
      <c r="A9" t="s">
        <v>109</v>
      </c>
      <c r="B9" s="11">
        <f>CashFlowStatement_Year3!B7+CashFlowStatement_Year3!B43</f>
        <v>49038.583870867682</v>
      </c>
      <c r="C9" s="11">
        <f>CashFlowStatement_Year3!C7+CashFlowStatement_Year3!C43</f>
        <v>69122.496542773937</v>
      </c>
      <c r="D9" s="11">
        <f>CashFlowStatement_Year3!D7+CashFlowStatement_Year3!D43</f>
        <v>96337.611773321056</v>
      </c>
      <c r="E9" s="11">
        <f>CashFlowStatement_Year3!E7+CashFlowStatement_Year3!E43</f>
        <v>127908.26886940269</v>
      </c>
      <c r="F9" s="11">
        <f>CashFlowStatement_Year3!F7+CashFlowStatement_Year3!F43</f>
        <v>164368.20709045714</v>
      </c>
      <c r="G9" s="11">
        <f>CashFlowStatement_Year3!G7+CashFlowStatement_Year3!G43</f>
        <v>206318.0462694203</v>
      </c>
      <c r="H9" s="11">
        <f>CashFlowStatement_Year3!H7+CashFlowStatement_Year3!H43</f>
        <v>254433.73043119963</v>
      </c>
      <c r="I9" s="11">
        <f>CashFlowStatement_Year3!I7+CashFlowStatement_Year3!I43</f>
        <v>309476.05965960887</v>
      </c>
      <c r="J9" s="11">
        <f>CashFlowStatement_Year3!J7+CashFlowStatement_Year3!J43</f>
        <v>372301.45206121379</v>
      </c>
      <c r="K9" s="11">
        <f>CashFlowStatement_Year3!K7+CashFlowStatement_Year3!K43</f>
        <v>443874.09649718128</v>
      </c>
      <c r="L9" s="11">
        <f>CashFlowStatement_Year3!L7+CashFlowStatement_Year3!L43</f>
        <v>525279.67810490855</v>
      </c>
      <c r="M9" s="11">
        <f>CashFlowStatement_Year3!M7+CashFlowStatement_Year3!M43</f>
        <v>617740.88285452896</v>
      </c>
    </row>
    <row r="10" spans="1:13" x14ac:dyDescent="0.25">
      <c r="A10" t="s">
        <v>110</v>
      </c>
      <c r="B10" s="11">
        <f>IncomeStatement_Year3!B13*DATA!B3</f>
        <v>317.43366213297861</v>
      </c>
      <c r="C10" s="11">
        <f>IncomeStatement_Year3!C13*DATA!B3</f>
        <v>320.60799875430843</v>
      </c>
      <c r="D10" s="11">
        <f>IncomeStatement_Year3!D13*DATA!B3</f>
        <v>323.81407874185152</v>
      </c>
      <c r="E10" s="11">
        <f>IncomeStatement_Year3!E13*DATA!B3</f>
        <v>327.05221952927002</v>
      </c>
      <c r="F10" s="11">
        <f>IncomeStatement_Year3!F13*DATA!B3</f>
        <v>330.32274172456272</v>
      </c>
      <c r="G10" s="11">
        <f>IncomeStatement_Year3!G13*DATA!B3</f>
        <v>333.62596914180835</v>
      </c>
      <c r="H10" s="11">
        <f>IncomeStatement_Year3!H13*DATA!B3</f>
        <v>336.96222883322645</v>
      </c>
      <c r="I10" s="11">
        <f>IncomeStatement_Year3!I13*DATA!B3</f>
        <v>340.33185112155871</v>
      </c>
      <c r="J10" s="11">
        <f>IncomeStatement_Year3!J13*DATA!B3</f>
        <v>343.73516963277433</v>
      </c>
      <c r="K10" s="11">
        <f>IncomeStatement_Year3!K13*DATA!B3</f>
        <v>347.1725213291021</v>
      </c>
      <c r="L10" s="11">
        <f>IncomeStatement_Year3!L13*DATA!B3</f>
        <v>350.64424654239315</v>
      </c>
      <c r="M10" s="11">
        <f>IncomeStatement_Year3!M13*DATA!B3</f>
        <v>354.15068900781711</v>
      </c>
    </row>
    <row r="11" spans="1:13" x14ac:dyDescent="0.25">
      <c r="A11" s="4" t="s">
        <v>111</v>
      </c>
      <c r="B11" s="13">
        <f t="shared" ref="B11:M11" si="0">SUM(B9:B10)</f>
        <v>49356.01753300066</v>
      </c>
      <c r="C11" s="13">
        <f t="shared" si="0"/>
        <v>69443.104541528242</v>
      </c>
      <c r="D11" s="13">
        <f t="shared" si="0"/>
        <v>96661.425852062908</v>
      </c>
      <c r="E11" s="13">
        <f t="shared" si="0"/>
        <v>128235.32108893196</v>
      </c>
      <c r="F11" s="13">
        <f t="shared" si="0"/>
        <v>164698.5298321817</v>
      </c>
      <c r="G11" s="13">
        <f t="shared" si="0"/>
        <v>206651.67223856211</v>
      </c>
      <c r="H11" s="13">
        <f t="shared" si="0"/>
        <v>254770.69266003286</v>
      </c>
      <c r="I11" s="13">
        <f t="shared" si="0"/>
        <v>309816.39151073043</v>
      </c>
      <c r="J11" s="13">
        <f t="shared" si="0"/>
        <v>372645.18723084655</v>
      </c>
      <c r="K11" s="13">
        <f t="shared" si="0"/>
        <v>444221.26901851036</v>
      </c>
      <c r="L11" s="13">
        <f t="shared" si="0"/>
        <v>525630.32235145092</v>
      </c>
      <c r="M11" s="13">
        <f t="shared" si="0"/>
        <v>618095.03354353679</v>
      </c>
    </row>
    <row r="13" spans="1:13" x14ac:dyDescent="0.25">
      <c r="A13" t="s">
        <v>112</v>
      </c>
    </row>
    <row r="14" spans="1:13" x14ac:dyDescent="0.25">
      <c r="A14" t="s">
        <v>14</v>
      </c>
      <c r="B14" s="11">
        <f>IF(B5=DATA!E23,DATA!B23,0)+BalanceSheet_Year2!M14</f>
        <v>8500</v>
      </c>
      <c r="C14" s="11">
        <f>IF(C5=DATA!E23,DATA!B23,0)+B14</f>
        <v>8500</v>
      </c>
      <c r="D14" s="11">
        <f>IF(D5=DATA!E23,DATA!B23,0)+C14</f>
        <v>8500</v>
      </c>
      <c r="E14" s="11">
        <f>IF(E5=DATA!E23,DATA!B23,0)+D14</f>
        <v>8500</v>
      </c>
      <c r="F14" s="11">
        <f>IF(F5=DATA!E23,DATA!B23,0)+E14</f>
        <v>8500</v>
      </c>
      <c r="G14" s="11">
        <f>IF(G5=DATA!E23,DATA!B23,0)+F14</f>
        <v>8500</v>
      </c>
      <c r="H14" s="11">
        <f>IF(H5=DATA!E23,DATA!B23,0)+G14</f>
        <v>8500</v>
      </c>
      <c r="I14" s="11">
        <f>IF(I5=DATA!E23,DATA!B23,0)+H14</f>
        <v>8500</v>
      </c>
      <c r="J14" s="11">
        <f>IF(J5=DATA!E23,DATA!B23,0)+I14</f>
        <v>8500</v>
      </c>
      <c r="K14" s="11">
        <f>IF(K5=DATA!E23,DATA!B23,0)+J14</f>
        <v>8500</v>
      </c>
      <c r="L14" s="11">
        <f>IF(L5=DATA!E23,DATA!B23,0)+K14</f>
        <v>8500</v>
      </c>
      <c r="M14" s="11">
        <f>IF(M5=DATA!E23,DATA!B23,0)+L14</f>
        <v>8500</v>
      </c>
    </row>
    <row r="15" spans="1:13" x14ac:dyDescent="0.25">
      <c r="A15" t="s">
        <v>239</v>
      </c>
      <c r="B15" s="11">
        <f>IF(B5=DATA!E26,DATA!B26,0)+BalanceSheet_Year2!M15</f>
        <v>82000</v>
      </c>
      <c r="C15" s="11">
        <f>IF(C5=DATA!E26,DATA!B26,0)+B15</f>
        <v>82000</v>
      </c>
      <c r="D15" s="11">
        <f>IF(D5=DATA!E26,DATA!B26,0)+C15</f>
        <v>82000</v>
      </c>
      <c r="E15" s="11">
        <f>IF(E5=DATA!E26,DATA!B26,0)+D15</f>
        <v>82000</v>
      </c>
      <c r="F15" s="11">
        <f>IF(F5=DATA!E26,DATA!B26,0)+E15</f>
        <v>82000</v>
      </c>
      <c r="G15" s="11">
        <f>IF(G5=DATA!E26,DATA!B26,0)+F15</f>
        <v>82000</v>
      </c>
      <c r="H15" s="11">
        <f>IF(H5=DATA!E26,DATA!B26,0)+G15</f>
        <v>82000</v>
      </c>
      <c r="I15" s="11">
        <f>IF(I5=DATA!E26,DATA!B26,0)+H15</f>
        <v>82000</v>
      </c>
      <c r="J15" s="11">
        <f>IF(J5=DATA!E26,DATA!B26,0)+I15</f>
        <v>82000</v>
      </c>
      <c r="K15" s="11">
        <f>IF(K5=DATA!E26,DATA!B26,0)+J15</f>
        <v>82000</v>
      </c>
      <c r="L15" s="11">
        <f>IF(L5=DATA!E26,DATA!B26,0)+K15</f>
        <v>82000</v>
      </c>
      <c r="M15" s="11">
        <f>IF(M5=DATA!E26,DATA!B26,0)+L15</f>
        <v>82000</v>
      </c>
    </row>
    <row r="16" spans="1:13" x14ac:dyDescent="0.25">
      <c r="A16" t="s">
        <v>113</v>
      </c>
      <c r="B16" s="11">
        <f>-(IncomeStatement_Year3!B39-BalanceSheet_Year2!M16)</f>
        <v>-26934.523809523824</v>
      </c>
      <c r="C16" s="11">
        <f>-(IncomeStatement_Year3!C39-B16)</f>
        <v>-28011.904761904778</v>
      </c>
      <c r="D16" s="11">
        <f>-(IncomeStatement_Year3!D39-C16)</f>
        <v>-29089.285714285732</v>
      </c>
      <c r="E16" s="11">
        <f>-(IncomeStatement_Year3!E39-D16)</f>
        <v>-30166.666666666686</v>
      </c>
      <c r="F16" s="11">
        <f>-(IncomeStatement_Year3!F39-E16)</f>
        <v>-31244.04761904764</v>
      </c>
      <c r="G16" s="11">
        <f>-(IncomeStatement_Year3!G39-F16)</f>
        <v>-32321.428571428594</v>
      </c>
      <c r="H16" s="11">
        <f>-(IncomeStatement_Year3!H39-G16)</f>
        <v>-33398.809523809548</v>
      </c>
      <c r="I16" s="11">
        <f>-(IncomeStatement_Year3!I39-H16)</f>
        <v>-34476.190476190503</v>
      </c>
      <c r="J16" s="11">
        <f>-(IncomeStatement_Year3!J39-I16)</f>
        <v>-35553.571428571457</v>
      </c>
      <c r="K16" s="11">
        <f>-(IncomeStatement_Year3!K39-J16)</f>
        <v>-36630.952380952411</v>
      </c>
      <c r="L16" s="11">
        <f>-(IncomeStatement_Year3!L39-K16)</f>
        <v>-37708.333333333365</v>
      </c>
      <c r="M16" s="11">
        <f>-(IncomeStatement_Year3!M39-L16)</f>
        <v>-38785.714285714319</v>
      </c>
    </row>
    <row r="17" spans="1:13" x14ac:dyDescent="0.25">
      <c r="A17" s="4" t="s">
        <v>114</v>
      </c>
      <c r="B17" s="13">
        <f t="shared" ref="B17:M17" si="1">SUM(B14:B16)</f>
        <v>63565.476190476176</v>
      </c>
      <c r="C17" s="13">
        <f t="shared" si="1"/>
        <v>62488.095238095222</v>
      </c>
      <c r="D17" s="13">
        <f t="shared" si="1"/>
        <v>61410.714285714268</v>
      </c>
      <c r="E17" s="13">
        <f t="shared" si="1"/>
        <v>60333.333333333314</v>
      </c>
      <c r="F17" s="13">
        <f t="shared" si="1"/>
        <v>59255.95238095236</v>
      </c>
      <c r="G17" s="13">
        <f t="shared" si="1"/>
        <v>58178.571428571406</v>
      </c>
      <c r="H17" s="13">
        <f t="shared" si="1"/>
        <v>57101.190476190452</v>
      </c>
      <c r="I17" s="13">
        <f t="shared" si="1"/>
        <v>56023.809523809497</v>
      </c>
      <c r="J17" s="13">
        <f t="shared" si="1"/>
        <v>54946.428571428543</v>
      </c>
      <c r="K17" s="13">
        <f t="shared" si="1"/>
        <v>53869.047619047589</v>
      </c>
      <c r="L17" s="13">
        <f t="shared" si="1"/>
        <v>52791.666666666635</v>
      </c>
      <c r="M17" s="13">
        <f t="shared" si="1"/>
        <v>51714.285714285681</v>
      </c>
    </row>
    <row r="19" spans="1:13" x14ac:dyDescent="0.25">
      <c r="A19" s="4" t="s">
        <v>115</v>
      </c>
      <c r="B19" s="8">
        <f t="shared" ref="B19:M19" si="2">B11+B17</f>
        <v>112921.49372347683</v>
      </c>
      <c r="C19" s="8">
        <f t="shared" si="2"/>
        <v>131931.19977962348</v>
      </c>
      <c r="D19" s="8">
        <f t="shared" si="2"/>
        <v>158072.14013777717</v>
      </c>
      <c r="E19" s="8">
        <f t="shared" si="2"/>
        <v>188568.65442226527</v>
      </c>
      <c r="F19" s="8">
        <f t="shared" si="2"/>
        <v>223954.48221313406</v>
      </c>
      <c r="G19" s="8">
        <f t="shared" si="2"/>
        <v>264830.2436671335</v>
      </c>
      <c r="H19" s="8">
        <f t="shared" si="2"/>
        <v>311871.8831362233</v>
      </c>
      <c r="I19" s="8">
        <f t="shared" si="2"/>
        <v>365840.20103453996</v>
      </c>
      <c r="J19" s="8">
        <f t="shared" si="2"/>
        <v>427591.61580227508</v>
      </c>
      <c r="K19" s="8">
        <f t="shared" si="2"/>
        <v>498090.31663755793</v>
      </c>
      <c r="L19" s="8">
        <f t="shared" si="2"/>
        <v>578421.98901811754</v>
      </c>
      <c r="M19" s="8">
        <f t="shared" si="2"/>
        <v>669809.31925782247</v>
      </c>
    </row>
    <row r="21" spans="1:13" x14ac:dyDescent="0.25">
      <c r="A21" s="4" t="s">
        <v>116</v>
      </c>
    </row>
    <row r="22" spans="1:13" x14ac:dyDescent="0.25">
      <c r="A22" t="s">
        <v>117</v>
      </c>
    </row>
    <row r="23" spans="1:13" x14ac:dyDescent="0.25">
      <c r="A23" t="s">
        <v>118</v>
      </c>
      <c r="B23" s="11">
        <f>(IncomeStatement_Year3!B15+SUM(IncomeStatement_Year3!B21:B35)+IncomeStatement_Year3!B38)/2</f>
        <v>16147.207131628793</v>
      </c>
      <c r="C23" s="11">
        <f>(IncomeStatement_Year3!C15+SUM(IncomeStatement_Year3!C21:C35)+IncomeStatement_Year3!C38)/2</f>
        <v>4527.9077052400207</v>
      </c>
      <c r="D23" s="11">
        <f>(IncomeStatement_Year3!D15+SUM(IncomeStatement_Year3!D21:D35)+IncomeStatement_Year3!D38)/2</f>
        <v>4536.7103489396541</v>
      </c>
      <c r="E23" s="11">
        <f>(IncomeStatement_Year3!E15+SUM(IncomeStatement_Year3!E21:E35)+IncomeStatement_Year3!E38)/2</f>
        <v>4546.0802226429323</v>
      </c>
      <c r="F23" s="11">
        <f>(IncomeStatement_Year3!F15+SUM(IncomeStatement_Year3!F21:F35)+IncomeStatement_Year3!F38)/2</f>
        <v>4556.0724878534566</v>
      </c>
      <c r="G23" s="11">
        <f>(IncomeStatement_Year3!G15+SUM(IncomeStatement_Year3!G21:G35)+IncomeStatement_Year3!G38)/2</f>
        <v>4566.7478076790703</v>
      </c>
      <c r="H23" s="11">
        <f>(IncomeStatement_Year3!H15+SUM(IncomeStatement_Year3!H21:H35)+IncomeStatement_Year3!H38)/2</f>
        <v>4578.1728968478874</v>
      </c>
      <c r="I23" s="11">
        <f>(IncomeStatement_Year3!I15+SUM(IncomeStatement_Year3!I21:I35)+IncomeStatement_Year3!I38)/2</f>
        <v>4590.4211267244846</v>
      </c>
      <c r="J23" s="11">
        <f>(IncomeStatement_Year3!J15+SUM(IncomeStatement_Year3!J21:J35)+IncomeStatement_Year3!J38)/2</f>
        <v>4603.573190826256</v>
      </c>
      <c r="K23" s="11">
        <f>(IncomeStatement_Year3!K15+SUM(IncomeStatement_Year3!K21:K35)+IncomeStatement_Year3!K38)/2</f>
        <v>4617.7178368899295</v>
      </c>
      <c r="L23" s="11">
        <f>(IncomeStatement_Year3!L15+SUM(IncomeStatement_Year3!L21:L35)+IncomeStatement_Year3!L38)/2</f>
        <v>4632.9526721432503</v>
      </c>
      <c r="M23" s="11">
        <f>(IncomeStatement_Year3!M15+SUM(IncomeStatement_Year3!M21:M35)+IncomeStatement_Year3!M38)/2</f>
        <v>4649.3850491023295</v>
      </c>
    </row>
    <row r="24" spans="1:13" x14ac:dyDescent="0.25">
      <c r="A24" s="4" t="s">
        <v>119</v>
      </c>
      <c r="B24" s="13">
        <f t="shared" ref="B24:M24" si="3">B23</f>
        <v>16147.207131628793</v>
      </c>
      <c r="C24" s="13">
        <f t="shared" si="3"/>
        <v>4527.9077052400207</v>
      </c>
      <c r="D24" s="13">
        <f t="shared" si="3"/>
        <v>4536.7103489396541</v>
      </c>
      <c r="E24" s="13">
        <f t="shared" si="3"/>
        <v>4546.0802226429323</v>
      </c>
      <c r="F24" s="13">
        <f t="shared" si="3"/>
        <v>4556.0724878534566</v>
      </c>
      <c r="G24" s="13">
        <f t="shared" si="3"/>
        <v>4566.7478076790703</v>
      </c>
      <c r="H24" s="13">
        <f t="shared" si="3"/>
        <v>4578.1728968478874</v>
      </c>
      <c r="I24" s="13">
        <f t="shared" si="3"/>
        <v>4590.4211267244846</v>
      </c>
      <c r="J24" s="13">
        <f t="shared" si="3"/>
        <v>4603.573190826256</v>
      </c>
      <c r="K24" s="13">
        <f t="shared" si="3"/>
        <v>4617.7178368899295</v>
      </c>
      <c r="L24" s="13">
        <f t="shared" si="3"/>
        <v>4632.9526721432503</v>
      </c>
      <c r="M24" s="13">
        <f t="shared" si="3"/>
        <v>4649.3850491023295</v>
      </c>
    </row>
    <row r="26" spans="1:13" x14ac:dyDescent="0.25">
      <c r="A26" t="s">
        <v>120</v>
      </c>
    </row>
    <row r="27" spans="1:13" x14ac:dyDescent="0.25">
      <c r="A27" t="str">
        <f>LoanModule!C1</f>
        <v>SBA Loan</v>
      </c>
      <c r="B27" s="11">
        <f>LoanModule!F34</f>
        <v>0</v>
      </c>
      <c r="C27" s="11">
        <f>LoanModule!F35</f>
        <v>0</v>
      </c>
      <c r="D27" s="11">
        <f>LoanModule!F36</f>
        <v>0</v>
      </c>
      <c r="E27" s="11">
        <f>LoanModule!F37</f>
        <v>0</v>
      </c>
      <c r="F27" s="11">
        <f>LoanModule!F38</f>
        <v>0</v>
      </c>
      <c r="G27" s="11">
        <f>LoanModule!F39</f>
        <v>0</v>
      </c>
      <c r="H27" s="11">
        <f>LoanModule!F40</f>
        <v>0</v>
      </c>
      <c r="I27" s="11">
        <f>LoanModule!F41</f>
        <v>0</v>
      </c>
      <c r="J27" s="11">
        <f>LoanModule!F42</f>
        <v>0</v>
      </c>
      <c r="K27" s="11">
        <f>LoanModule!F43</f>
        <v>0</v>
      </c>
      <c r="L27" s="11">
        <f>LoanModule!F44</f>
        <v>0</v>
      </c>
      <c r="M27" s="11">
        <f>LoanModule!F45</f>
        <v>0</v>
      </c>
    </row>
    <row r="28" spans="1:13" x14ac:dyDescent="0.25">
      <c r="A28" s="4" t="s">
        <v>121</v>
      </c>
      <c r="B28" s="13">
        <f t="shared" ref="B28:M28" si="4">SUM(B27:B27)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</row>
    <row r="30" spans="1:13" x14ac:dyDescent="0.25">
      <c r="A30" s="4" t="s">
        <v>122</v>
      </c>
      <c r="B30" s="8">
        <f t="shared" ref="B30:M30" si="5">B24+B28</f>
        <v>16147.207131628793</v>
      </c>
      <c r="C30" s="8">
        <f t="shared" si="5"/>
        <v>4527.9077052400207</v>
      </c>
      <c r="D30" s="8">
        <f t="shared" si="5"/>
        <v>4536.7103489396541</v>
      </c>
      <c r="E30" s="8">
        <f t="shared" si="5"/>
        <v>4546.0802226429323</v>
      </c>
      <c r="F30" s="8">
        <f t="shared" si="5"/>
        <v>4556.0724878534566</v>
      </c>
      <c r="G30" s="8">
        <f t="shared" si="5"/>
        <v>4566.7478076790703</v>
      </c>
      <c r="H30" s="8">
        <f t="shared" si="5"/>
        <v>4578.1728968478874</v>
      </c>
      <c r="I30" s="8">
        <f t="shared" si="5"/>
        <v>4590.4211267244846</v>
      </c>
      <c r="J30" s="8">
        <f t="shared" si="5"/>
        <v>4603.573190826256</v>
      </c>
      <c r="K30" s="8">
        <f t="shared" si="5"/>
        <v>4617.7178368899295</v>
      </c>
      <c r="L30" s="8">
        <f t="shared" si="5"/>
        <v>4632.9526721432503</v>
      </c>
      <c r="M30" s="8">
        <f t="shared" si="5"/>
        <v>4649.3850491023295</v>
      </c>
    </row>
    <row r="32" spans="1:13" x14ac:dyDescent="0.25">
      <c r="A32" t="s">
        <v>123</v>
      </c>
    </row>
    <row r="33" spans="1:13" x14ac:dyDescent="0.25">
      <c r="A33" t="s">
        <v>124</v>
      </c>
      <c r="B33" s="11">
        <f>BalanceSheet_Year2!M33</f>
        <v>0</v>
      </c>
      <c r="C33" s="11">
        <f t="shared" ref="C33:M33" si="6">B33</f>
        <v>0</v>
      </c>
      <c r="D33" s="11">
        <f t="shared" si="6"/>
        <v>0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11">
        <f t="shared" si="6"/>
        <v>0</v>
      </c>
      <c r="M33" s="11">
        <f t="shared" si="6"/>
        <v>0</v>
      </c>
    </row>
    <row r="34" spans="1:13" x14ac:dyDescent="0.25">
      <c r="A34" t="s">
        <v>125</v>
      </c>
      <c r="B34" s="11">
        <f>CashFlowStatement_Year3!B12+BalanceSheet_Year2!M34</f>
        <v>0</v>
      </c>
      <c r="C34" s="11">
        <f>CashFlowStatement_Year3!C12+B34</f>
        <v>0</v>
      </c>
      <c r="D34" s="11">
        <f>CashFlowStatement_Year3!D12+C34</f>
        <v>0</v>
      </c>
      <c r="E34" s="11">
        <f>CashFlowStatement_Year3!E12+D34</f>
        <v>0</v>
      </c>
      <c r="F34" s="11">
        <f>CashFlowStatement_Year3!F12+E34</f>
        <v>0</v>
      </c>
      <c r="G34" s="11">
        <f>CashFlowStatement_Year3!G12+F34</f>
        <v>0</v>
      </c>
      <c r="H34" s="11">
        <f>CashFlowStatement_Year3!H12+G34</f>
        <v>0</v>
      </c>
      <c r="I34" s="11">
        <f>CashFlowStatement_Year3!I12+H34</f>
        <v>0</v>
      </c>
      <c r="J34" s="11">
        <f>CashFlowStatement_Year3!J12+I34</f>
        <v>0</v>
      </c>
      <c r="K34" s="11">
        <f>CashFlowStatement_Year3!K12+J34</f>
        <v>0</v>
      </c>
      <c r="L34" s="11">
        <f>CashFlowStatement_Year3!L12+K34</f>
        <v>0</v>
      </c>
      <c r="M34" s="11">
        <f>CashFlowStatement_Year3!M12+L34</f>
        <v>0</v>
      </c>
    </row>
    <row r="35" spans="1:13" x14ac:dyDescent="0.25">
      <c r="A35" t="s">
        <v>21</v>
      </c>
      <c r="B35" s="11">
        <f>BalanceSheet_Year2!M35+DATA!Z31</f>
        <v>0</v>
      </c>
      <c r="C35" s="11">
        <f>B35+DATA!AA31</f>
        <v>0</v>
      </c>
      <c r="D35" s="11">
        <f>C35+DATA!AB31</f>
        <v>0</v>
      </c>
      <c r="E35" s="11">
        <f>D35+DATA!AC31</f>
        <v>0</v>
      </c>
      <c r="F35" s="11">
        <f>E35+DATA!AD31</f>
        <v>0</v>
      </c>
      <c r="G35" s="11">
        <f>F35+DATA!AE31</f>
        <v>0</v>
      </c>
      <c r="H35" s="11">
        <f>G35+DATA!AF31</f>
        <v>0</v>
      </c>
      <c r="I35" s="11">
        <f>H35+DATA!AG31</f>
        <v>0</v>
      </c>
      <c r="J35" s="11">
        <f>I35+DATA!AH31</f>
        <v>0</v>
      </c>
      <c r="K35" s="11">
        <f>J35+DATA!AI31</f>
        <v>0</v>
      </c>
      <c r="L35" s="11">
        <f>K35+DATA!AJ31</f>
        <v>0</v>
      </c>
      <c r="M35" s="11">
        <f>L35+DATA!AK31</f>
        <v>0</v>
      </c>
    </row>
    <row r="36" spans="1:13" x14ac:dyDescent="0.25">
      <c r="A36" t="s">
        <v>126</v>
      </c>
      <c r="B36" s="11">
        <f>(BalanceSheet_Year2!M36+IncomeStatement_Year3!B46)-B35</f>
        <v>11242.201544333366</v>
      </c>
      <c r="C36" s="11">
        <f>(B36+IncomeStatement_Year3!C46)-C35</f>
        <v>31280.296120088937</v>
      </c>
      <c r="D36" s="11">
        <f>(C36+IncomeStatement_Year3!D46)-D35</f>
        <v>54794.539607027058</v>
      </c>
      <c r="E36" s="11">
        <f>(D36+IncomeStatement_Year3!E46)-E35</f>
        <v>82191.75468075044</v>
      </c>
      <c r="F36" s="11">
        <f>(E36+IncomeStatement_Year3!F46)-F35</f>
        <v>113927.27652294304</v>
      </c>
      <c r="G36" s="11">
        <f>(F36+IncomeStatement_Year3!G46)-G35</f>
        <v>150510.72050229544</v>
      </c>
      <c r="H36" s="11">
        <f>(G36+IncomeStatement_Year3!H46)-H35</f>
        <v>192512.44718935114</v>
      </c>
      <c r="I36" s="11">
        <f>(H36+IncomeStatement_Year3!I46)-I35</f>
        <v>240570.80917099171</v>
      </c>
      <c r="J36" s="11">
        <f>(I36+IncomeStatement_Year3!J46)-J35</f>
        <v>295400.27450947667</v>
      </c>
      <c r="K36" s="11">
        <f>(J36+IncomeStatement_Year3!K46)-K35</f>
        <v>357800.53335182735</v>
      </c>
      <c r="L36" s="11">
        <f>(K36+IncomeStatement_Year3!L46)-L35</f>
        <v>428666.70729816693</v>
      </c>
      <c r="M36" s="11">
        <f>(L36+IncomeStatement_Year3!M46)-M35</f>
        <v>509000.7958628406</v>
      </c>
    </row>
    <row r="37" spans="1:13" x14ac:dyDescent="0.25">
      <c r="A37" s="4" t="s">
        <v>127</v>
      </c>
      <c r="B37" s="8">
        <f>SUM(B33:B36)-B35+SUM(BalanceSheet_Year1!C35:N35)+SUM(BalanceSheet_Year2!B35:M35)</f>
        <v>11242.201544333366</v>
      </c>
      <c r="C37" s="8">
        <f>SUM(C33:C36)-C35+SUM(BalanceSheet_Year1!C35:N35)+SUM(BalanceSheet_Year2!B35:M35)+SUM(BalanceSheet_Year3!B35:B35)</f>
        <v>31280.296120088937</v>
      </c>
      <c r="D37" s="8">
        <f>SUM(D33:D36)-D35+SUM(BalanceSheet_Year1!C35:N35)+SUM(BalanceSheet_Year2!B35:M35)+SUM(BalanceSheet_Year3!B35:C35)</f>
        <v>54794.539607027058</v>
      </c>
      <c r="E37" s="8">
        <f>SUM(E33:E36)-E35+SUM(BalanceSheet_Year1!C35:N35)+SUM(BalanceSheet_Year2!B35:M35)+SUM(BalanceSheet_Year3!B35:D35)</f>
        <v>82191.75468075044</v>
      </c>
      <c r="F37" s="8">
        <f>SUM(F33:F36)-F35+SUM(BalanceSheet_Year1!C35:N35)+SUM(BalanceSheet_Year2!B35:M35)+SUM(BalanceSheet_Year3!B35:E35)</f>
        <v>113927.27652294304</v>
      </c>
      <c r="G37" s="8">
        <f>SUM(G33:G36)-G35+SUM(BalanceSheet_Year1!C35:N35)+SUM(BalanceSheet_Year2!B35:M35)+SUM(BalanceSheet_Year3!B35:F35)</f>
        <v>150510.72050229544</v>
      </c>
      <c r="H37" s="8">
        <f>SUM(H33:H36)-H35+SUM(BalanceSheet_Year1!C35:N35)+SUM(BalanceSheet_Year2!B35:M35)+SUM(BalanceSheet_Year3!B35:G35)</f>
        <v>192512.44718935114</v>
      </c>
      <c r="I37" s="8">
        <f>SUM(I33:I36)-I35+SUM(BalanceSheet_Year1!C35:N35)+SUM(BalanceSheet_Year2!B35:M35)+SUM(BalanceSheet_Year3!B35:H35)</f>
        <v>240570.80917099171</v>
      </c>
      <c r="J37" s="8">
        <f>SUM(J33:J36)-J35+SUM(BalanceSheet_Year1!C35:N35)+SUM(BalanceSheet_Year2!B35:M35)+SUM(BalanceSheet_Year3!B35:I35)</f>
        <v>295400.27450947667</v>
      </c>
      <c r="K37" s="8">
        <f>SUM(K33:K36)-K35+SUM(BalanceSheet_Year1!C35:N35)+SUM(BalanceSheet_Year2!B35:M35)+SUM(BalanceSheet_Year3!B35:J35)</f>
        <v>357800.53335182735</v>
      </c>
      <c r="L37" s="8">
        <f>SUM(L33:L36)-L35+SUM(BalanceSheet_Year1!C35:N35)+SUM(BalanceSheet_Year2!B35:M35)+SUM(BalanceSheet_Year3!B35:K35)</f>
        <v>428666.70729816693</v>
      </c>
      <c r="M37" s="8">
        <f>SUM(M33:M36)-M35+SUM(BalanceSheet_Year1!C35:N35)+SUM(BalanceSheet_Year2!B35:M35)+SUM(BalanceSheet_Year3!B35:L35)</f>
        <v>509000.7958628406</v>
      </c>
    </row>
    <row r="39" spans="1:13" x14ac:dyDescent="0.25">
      <c r="A39" s="4" t="s">
        <v>128</v>
      </c>
      <c r="B39" s="8">
        <f t="shared" ref="B39:M39" si="7">B37+B30</f>
        <v>27389.408675962157</v>
      </c>
      <c r="C39" s="8">
        <f t="shared" si="7"/>
        <v>35808.203825328957</v>
      </c>
      <c r="D39" s="8">
        <f t="shared" si="7"/>
        <v>59331.249955966712</v>
      </c>
      <c r="E39" s="8">
        <f t="shared" si="7"/>
        <v>86737.834903393377</v>
      </c>
      <c r="F39" s="8">
        <f t="shared" si="7"/>
        <v>118483.34901079649</v>
      </c>
      <c r="G39" s="8">
        <f t="shared" si="7"/>
        <v>155077.4683099745</v>
      </c>
      <c r="H39" s="8">
        <f t="shared" si="7"/>
        <v>197090.62008619902</v>
      </c>
      <c r="I39" s="8">
        <f t="shared" si="7"/>
        <v>245161.23029771619</v>
      </c>
      <c r="J39" s="8">
        <f t="shared" si="7"/>
        <v>300003.84770030295</v>
      </c>
      <c r="K39" s="8">
        <f t="shared" si="7"/>
        <v>362418.25118871726</v>
      </c>
      <c r="L39" s="8">
        <f t="shared" si="7"/>
        <v>433299.65997031017</v>
      </c>
      <c r="M39" s="8">
        <f t="shared" si="7"/>
        <v>513650.18091194291</v>
      </c>
    </row>
    <row r="42" spans="1:13" x14ac:dyDescent="0.25">
      <c r="A42" t="s">
        <v>85</v>
      </c>
    </row>
    <row r="43" spans="1:13" x14ac:dyDescent="0.25">
      <c r="A43" t="s">
        <v>86</v>
      </c>
    </row>
    <row r="44" spans="1:13" x14ac:dyDescent="0.25">
      <c r="A44" t="s">
        <v>87</v>
      </c>
    </row>
    <row r="45" spans="1:13" x14ac:dyDescent="0.25">
      <c r="A45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D41" sqref="D41"/>
    </sheetView>
  </sheetViews>
  <sheetFormatPr defaultRowHeight="15" x14ac:dyDescent="0.25"/>
  <cols>
    <col min="1" max="1" width="30.5703125" bestFit="1" customWidth="1"/>
    <col min="2" max="3" width="11.7109375" bestFit="1" customWidth="1"/>
    <col min="4" max="4" width="10.5703125" bestFit="1" customWidth="1"/>
  </cols>
  <sheetData>
    <row r="1" spans="1:4" x14ac:dyDescent="0.25">
      <c r="B1" t="s">
        <v>69</v>
      </c>
      <c r="C1" t="s">
        <v>88</v>
      </c>
      <c r="D1" t="s">
        <v>89</v>
      </c>
    </row>
    <row r="2" spans="1:4" x14ac:dyDescent="0.25">
      <c r="A2" s="4" t="s">
        <v>129</v>
      </c>
    </row>
    <row r="3" spans="1:4" x14ac:dyDescent="0.25">
      <c r="A3" t="str">
        <f>IncomeStatement_Year1!A7</f>
        <v>Yoga</v>
      </c>
      <c r="B3" s="5">
        <f>IncomeStatement_Year1!N7</f>
        <v>27516.781793038626</v>
      </c>
      <c r="C3" s="5">
        <f>IncomeStatement_Year2!N7</f>
        <v>135406.08392697145</v>
      </c>
      <c r="D3" s="5">
        <f>IncomeStatement_Year3!N7</f>
        <v>498195.93089249183</v>
      </c>
    </row>
    <row r="4" spans="1:4" x14ac:dyDescent="0.25">
      <c r="A4" t="str">
        <f>IncomeStatement_Year1!A8</f>
        <v>Massage Therapy</v>
      </c>
      <c r="B4" s="5">
        <f>IncomeStatement_Year1!N8</f>
        <v>8500.6155902903993</v>
      </c>
      <c r="C4" s="5">
        <f>IncomeStatement_Year2!N8</f>
        <v>11464.417626490802</v>
      </c>
      <c r="D4" s="5">
        <f>IncomeStatement_Year3!N8</f>
        <v>11464.417626490802</v>
      </c>
    </row>
    <row r="5" spans="1:4" x14ac:dyDescent="0.25">
      <c r="A5" t="str">
        <f>IncomeStatement_Year1!A9</f>
        <v>Salt Room</v>
      </c>
      <c r="B5" s="5">
        <f>IncomeStatement_Year1!N9</f>
        <v>2402.4450297047897</v>
      </c>
      <c r="C5" s="5">
        <f>IncomeStatement_Year2!N9</f>
        <v>14601.112107204051</v>
      </c>
      <c r="D5" s="5">
        <f>IncomeStatement_Year3!N9</f>
        <v>68140.955206826475</v>
      </c>
    </row>
    <row r="6" spans="1:4" x14ac:dyDescent="0.25">
      <c r="A6" t="str">
        <f>IncomeStatement_Year1!A10</f>
        <v>Retail Products</v>
      </c>
      <c r="B6" s="5">
        <f>IncomeStatement_Year1!N10</f>
        <v>2299.3361596682817</v>
      </c>
      <c r="C6" s="5">
        <f>IncomeStatement_Year2!N10</f>
        <v>13912.965085704649</v>
      </c>
      <c r="D6" s="5">
        <f>IncomeStatement_Year3!N10</f>
        <v>64625.917913810175</v>
      </c>
    </row>
    <row r="7" spans="1:4" x14ac:dyDescent="0.25">
      <c r="A7" s="4" t="s">
        <v>71</v>
      </c>
      <c r="B7" s="15">
        <f>SUM(B3:B6)</f>
        <v>40719.178572702091</v>
      </c>
      <c r="C7" s="15">
        <f>SUM(C3:C6)</f>
        <v>175384.57874637091</v>
      </c>
      <c r="D7" s="15">
        <f>SUM(D3:D6)</f>
        <v>642427.22163961921</v>
      </c>
    </row>
    <row r="9" spans="1:4" x14ac:dyDescent="0.25">
      <c r="A9" t="s">
        <v>72</v>
      </c>
      <c r="B9" s="5">
        <f>IncomeStatement_Year1!N13</f>
        <v>3170.6257532992427</v>
      </c>
      <c r="C9" s="5">
        <f>IncomeStatement_Year2!N13</f>
        <v>3572.7404599986185</v>
      </c>
      <c r="D9" s="5">
        <f>IncomeStatement_Year3!N13</f>
        <v>4025.8533764916519</v>
      </c>
    </row>
    <row r="10" spans="1:4" x14ac:dyDescent="0.25">
      <c r="A10" t="s">
        <v>73</v>
      </c>
      <c r="B10" s="5">
        <f>IncomeStatement_Year1!N14</f>
        <v>28234.955960155428</v>
      </c>
      <c r="C10" s="5">
        <f>IncomeStatement_Year2!N14</f>
        <v>28575.64516445962</v>
      </c>
      <c r="D10" s="5">
        <f>IncomeStatement_Year3!N14</f>
        <v>28920.445199823484</v>
      </c>
    </row>
    <row r="11" spans="1:4" x14ac:dyDescent="0.25">
      <c r="A11" s="4" t="s">
        <v>74</v>
      </c>
      <c r="B11" s="15">
        <f>SUM(B9:B10)</f>
        <v>31405.581713454671</v>
      </c>
      <c r="C11" s="15">
        <f>SUM(C9:C10)</f>
        <v>32148.385624458238</v>
      </c>
      <c r="D11" s="15">
        <f>SUM(D9:D10)</f>
        <v>32946.298576315137</v>
      </c>
    </row>
    <row r="13" spans="1:4" x14ac:dyDescent="0.25">
      <c r="A13" s="4" t="s">
        <v>75</v>
      </c>
      <c r="B13" s="15">
        <f>B7-B11</f>
        <v>9313.5968592474201</v>
      </c>
      <c r="C13" s="15">
        <f>C7-C11</f>
        <v>143236.19312191269</v>
      </c>
      <c r="D13" s="15">
        <f>D7-D11</f>
        <v>609480.92306330404</v>
      </c>
    </row>
    <row r="15" spans="1:4" x14ac:dyDescent="0.25">
      <c r="A15" s="4" t="s">
        <v>22</v>
      </c>
    </row>
    <row r="16" spans="1:4" x14ac:dyDescent="0.25">
      <c r="A16" t="str">
        <f>IncomeStatement_Year1!A21</f>
        <v>Accounting</v>
      </c>
      <c r="B16" s="5">
        <f>IncomeStatement_Year1!N21</f>
        <v>1266</v>
      </c>
      <c r="C16" s="5">
        <f>IncomeStatement_Year2!N21</f>
        <v>1266</v>
      </c>
      <c r="D16" s="5">
        <f>IncomeStatement_Year3!N21</f>
        <v>1266</v>
      </c>
    </row>
    <row r="17" spans="1:4" x14ac:dyDescent="0.25">
      <c r="A17" t="str">
        <f>IncomeStatement_Year1!A22</f>
        <v>Advertising</v>
      </c>
      <c r="B17" s="5">
        <f>IncomeStatement_Year1!N22</f>
        <v>9038.5983767210018</v>
      </c>
      <c r="C17" s="5">
        <f>IncomeStatement_Year2!N22</f>
        <v>9038.5983767210018</v>
      </c>
      <c r="D17" s="5">
        <f>IncomeStatement_Year3!N22</f>
        <v>9038.5983767210018</v>
      </c>
    </row>
    <row r="18" spans="1:4" x14ac:dyDescent="0.25">
      <c r="A18" t="str">
        <f>IncomeStatement_Year1!A23</f>
        <v>Insurance</v>
      </c>
      <c r="B18" s="5">
        <f>IncomeStatement_Year1!N23</f>
        <v>6500</v>
      </c>
      <c r="C18" s="5">
        <f>IncomeStatement_Year2!N23</f>
        <v>6500</v>
      </c>
      <c r="D18" s="5">
        <f>IncomeStatement_Year3!N23</f>
        <v>6500</v>
      </c>
    </row>
    <row r="19" spans="1:4" x14ac:dyDescent="0.25">
      <c r="A19" t="str">
        <f>IncomeStatement_Year1!A24</f>
        <v>Legal/Professional Services</v>
      </c>
      <c r="B19" s="5">
        <f>IncomeStatement_Year1!N24</f>
        <v>9855</v>
      </c>
      <c r="C19" s="5">
        <f>IncomeStatement_Year2!N24</f>
        <v>9855</v>
      </c>
      <c r="D19" s="5">
        <f>IncomeStatement_Year3!N24</f>
        <v>9855</v>
      </c>
    </row>
    <row r="20" spans="1:4" x14ac:dyDescent="0.25">
      <c r="A20" t="str">
        <f>IncomeStatement_Year1!A25</f>
        <v>Licenses</v>
      </c>
      <c r="B20" s="5">
        <f>IncomeStatement_Year1!N25</f>
        <v>0</v>
      </c>
      <c r="C20" s="5">
        <f>IncomeStatement_Year2!N25</f>
        <v>0</v>
      </c>
      <c r="D20" s="5">
        <f>IncomeStatement_Year3!N25</f>
        <v>0</v>
      </c>
    </row>
    <row r="21" spans="1:4" x14ac:dyDescent="0.25">
      <c r="A21" t="str">
        <f>IncomeStatement_Year1!A26</f>
        <v>Mindbody Transacation Fees</v>
      </c>
      <c r="B21" s="5">
        <f>IncomeStatement_Year1!N26</f>
        <v>3600</v>
      </c>
      <c r="C21" s="5">
        <f>IncomeStatement_Year2!N26</f>
        <v>3600</v>
      </c>
      <c r="D21" s="5">
        <f>IncomeStatement_Year3!N26</f>
        <v>3600</v>
      </c>
    </row>
    <row r="22" spans="1:4" x14ac:dyDescent="0.25">
      <c r="A22" t="str">
        <f>IncomeStatement_Year1!A27</f>
        <v>Mindbody Software</v>
      </c>
      <c r="B22" s="5">
        <f>IncomeStatement_Year1!N27</f>
        <v>1500</v>
      </c>
      <c r="C22" s="5">
        <f>IncomeStatement_Year2!N27</f>
        <v>1500</v>
      </c>
      <c r="D22" s="5">
        <f>IncomeStatement_Year3!N27</f>
        <v>1500</v>
      </c>
    </row>
    <row r="23" spans="1:4" x14ac:dyDescent="0.25">
      <c r="A23" t="str">
        <f>IncomeStatement_Year1!A28</f>
        <v>Paper Goods</v>
      </c>
      <c r="B23" s="5">
        <f>IncomeStatement_Year1!N28</f>
        <v>600</v>
      </c>
      <c r="C23" s="5">
        <f>IncomeStatement_Year2!N28</f>
        <v>600</v>
      </c>
      <c r="D23" s="5">
        <f>IncomeStatement_Year3!N28</f>
        <v>600</v>
      </c>
    </row>
    <row r="24" spans="1:4" x14ac:dyDescent="0.25">
      <c r="A24" t="str">
        <f>IncomeStatement_Year1!A29</f>
        <v>Rent</v>
      </c>
      <c r="B24" s="5">
        <f>IncomeStatement_Year1!N29</f>
        <v>58500</v>
      </c>
      <c r="C24" s="5">
        <f>IncomeStatement_Year2!N29</f>
        <v>58500</v>
      </c>
      <c r="D24" s="5">
        <f>IncomeStatement_Year3!N29</f>
        <v>58500</v>
      </c>
    </row>
    <row r="25" spans="1:4" x14ac:dyDescent="0.25">
      <c r="A25" t="str">
        <f>IncomeStatement_Year1!A30</f>
        <v>Tea</v>
      </c>
      <c r="B25" s="5">
        <f>IncomeStatement_Year1!N30</f>
        <v>1200</v>
      </c>
      <c r="C25" s="5">
        <f>IncomeStatement_Year2!N30</f>
        <v>1200</v>
      </c>
      <c r="D25" s="5">
        <f>IncomeStatement_Year3!N30</f>
        <v>1200</v>
      </c>
    </row>
    <row r="26" spans="1:4" x14ac:dyDescent="0.25">
      <c r="A26" t="str">
        <f>IncomeStatement_Year1!A31</f>
        <v>Telephone</v>
      </c>
      <c r="B26" s="5">
        <f>IncomeStatement_Year1!N31</f>
        <v>1200</v>
      </c>
      <c r="C26" s="5">
        <f>IncomeStatement_Year2!N31</f>
        <v>1200</v>
      </c>
      <c r="D26" s="5">
        <f>IncomeStatement_Year3!N31</f>
        <v>1200</v>
      </c>
    </row>
    <row r="27" spans="1:4" x14ac:dyDescent="0.25">
      <c r="A27" t="str">
        <f>IncomeStatement_Year1!A32</f>
        <v>Towel Service</v>
      </c>
      <c r="B27" s="5">
        <f>IncomeStatement_Year1!N32</f>
        <v>3600</v>
      </c>
      <c r="C27" s="5">
        <f>IncomeStatement_Year2!N32</f>
        <v>3600</v>
      </c>
      <c r="D27" s="5">
        <f>IncomeStatement_Year3!N32</f>
        <v>3600</v>
      </c>
    </row>
    <row r="28" spans="1:4" x14ac:dyDescent="0.25">
      <c r="A28" t="str">
        <f>IncomeStatement_Year1!A33</f>
        <v>Utilities</v>
      </c>
      <c r="B28" s="5">
        <f>IncomeStatement_Year1!N33</f>
        <v>2400</v>
      </c>
      <c r="C28" s="5">
        <f>IncomeStatement_Year2!N33</f>
        <v>2400</v>
      </c>
      <c r="D28" s="5">
        <f>IncomeStatement_Year3!N33</f>
        <v>2400</v>
      </c>
    </row>
    <row r="29" spans="1:4" x14ac:dyDescent="0.25">
      <c r="A29" t="str">
        <f>IncomeStatement_Year1!A34</f>
        <v>Wifi</v>
      </c>
      <c r="B29" s="5">
        <f>IncomeStatement_Year1!N34</f>
        <v>600</v>
      </c>
      <c r="C29" s="5">
        <f>IncomeStatement_Year2!N34</f>
        <v>600</v>
      </c>
      <c r="D29" s="5">
        <f>IncomeStatement_Year3!N34</f>
        <v>600</v>
      </c>
    </row>
    <row r="30" spans="1:4" x14ac:dyDescent="0.25">
      <c r="A30" t="str">
        <f>IncomeStatement_Year1!A35</f>
        <v>Water</v>
      </c>
      <c r="B30" s="5">
        <f>IncomeStatement_Year1!N35</f>
        <v>300</v>
      </c>
      <c r="C30" s="5">
        <f>IncomeStatement_Year2!N35</f>
        <v>300</v>
      </c>
      <c r="D30" s="5">
        <f>IncomeStatement_Year3!N35</f>
        <v>300</v>
      </c>
    </row>
    <row r="31" spans="1:4" x14ac:dyDescent="0.25">
      <c r="A31" t="str">
        <f>IncomeStatement_Year1!A36</f>
        <v>Salaries</v>
      </c>
      <c r="B31" s="5">
        <f>IncomeStatement_Year1!N36</f>
        <v>0</v>
      </c>
      <c r="C31" s="5">
        <f>IncomeStatement_Year2!N36</f>
        <v>0</v>
      </c>
      <c r="D31" s="5">
        <f>IncomeStatement_Year3!N36</f>
        <v>0</v>
      </c>
    </row>
    <row r="32" spans="1:4" x14ac:dyDescent="0.25">
      <c r="A32" t="str">
        <f>IncomeStatement_Year1!A37</f>
        <v>Loan Interest Expense</v>
      </c>
      <c r="B32" s="5">
        <f>IncomeStatement_Year1!N37</f>
        <v>0</v>
      </c>
      <c r="C32" s="5">
        <f>IncomeStatement_Year2!N37</f>
        <v>0</v>
      </c>
      <c r="D32" s="5">
        <f>IncomeStatement_Year3!N37</f>
        <v>0</v>
      </c>
    </row>
    <row r="33" spans="1:4" x14ac:dyDescent="0.25">
      <c r="A33" t="str">
        <f>IncomeStatement_Year1!A38</f>
        <v>Miscellaneous Expense</v>
      </c>
      <c r="B33" s="5">
        <f>IncomeStatement_Year1!N38</f>
        <v>0</v>
      </c>
      <c r="C33" s="5">
        <f>IncomeStatement_Year2!N38</f>
        <v>0</v>
      </c>
      <c r="D33" s="5">
        <f>IncomeStatement_Year3!N38</f>
        <v>0</v>
      </c>
    </row>
    <row r="34" spans="1:4" x14ac:dyDescent="0.25">
      <c r="A34" t="str">
        <f>IncomeStatement_Year1!A39</f>
        <v>Depreciation Expense</v>
      </c>
      <c r="B34" s="5">
        <f>IncomeStatement_Year1!N39</f>
        <v>12928.571428571428</v>
      </c>
      <c r="C34" s="5">
        <f>IncomeStatement_Year2!N39</f>
        <v>12928.571428571428</v>
      </c>
      <c r="D34" s="5">
        <f>IncomeStatement_Year3!N39</f>
        <v>12928.571428571428</v>
      </c>
    </row>
    <row r="35" spans="1:4" x14ac:dyDescent="0.25">
      <c r="A35" s="4" t="s">
        <v>81</v>
      </c>
      <c r="B35" s="15">
        <f>SUM(B16:B34)</f>
        <v>113088.16980529242</v>
      </c>
      <c r="C35" s="15">
        <f>SUM(C16:C34)</f>
        <v>113088.16980529242</v>
      </c>
      <c r="D35" s="15">
        <f>SUM(D16:D34)</f>
        <v>113088.16980529242</v>
      </c>
    </row>
    <row r="37" spans="1:4" x14ac:dyDescent="0.25">
      <c r="A37" s="4" t="s">
        <v>82</v>
      </c>
      <c r="B37" s="5">
        <f>IncomeStatement_Year1!N42</f>
        <v>-103774.57294604498</v>
      </c>
      <c r="C37" s="5">
        <f>IncomeStatement_Year2!N42</f>
        <v>30148.023316620267</v>
      </c>
      <c r="D37" s="5">
        <f>IncomeStatement_Year3!N42</f>
        <v>496392.75325801171</v>
      </c>
    </row>
    <row r="39" spans="1:4" x14ac:dyDescent="0.25">
      <c r="A39" s="4" t="s">
        <v>83</v>
      </c>
      <c r="B39" s="5">
        <f>IncomeStatement_Year1!N44</f>
        <v>0</v>
      </c>
      <c r="C39" s="5">
        <f>IncomeStatement_Year2!N44</f>
        <v>301.48023316620265</v>
      </c>
      <c r="D39" s="5">
        <f>IncomeStatement_Year3!N44</f>
        <v>4963.9275325801173</v>
      </c>
    </row>
    <row r="41" spans="1:4" x14ac:dyDescent="0.25">
      <c r="A41" s="4" t="s">
        <v>84</v>
      </c>
      <c r="B41" s="5">
        <f>IncomeStatement_Year1!N46</f>
        <v>-103774.57294604498</v>
      </c>
      <c r="C41" s="5">
        <f>IncomeStatement_Year2!N46</f>
        <v>29846.543083454068</v>
      </c>
      <c r="D41" s="5">
        <f>IncomeStatement_Year3!N46</f>
        <v>491428.82572543155</v>
      </c>
    </row>
    <row r="44" spans="1:4" x14ac:dyDescent="0.25">
      <c r="A44" t="s">
        <v>85</v>
      </c>
    </row>
    <row r="45" spans="1:4" x14ac:dyDescent="0.25">
      <c r="A45" t="s">
        <v>86</v>
      </c>
    </row>
    <row r="46" spans="1:4" x14ac:dyDescent="0.25">
      <c r="A46" t="s">
        <v>87</v>
      </c>
    </row>
    <row r="47" spans="1:4" x14ac:dyDescent="0.25">
      <c r="A47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workbookViewId="0">
      <selection activeCell="U75" sqref="U75"/>
    </sheetView>
  </sheetViews>
  <sheetFormatPr defaultRowHeight="15" x14ac:dyDescent="0.25"/>
  <sheetData>
    <row r="1" spans="1:2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100" spans="1:37" x14ac:dyDescent="0.25">
      <c r="B100" s="16">
        <v>1</v>
      </c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16">
        <v>7</v>
      </c>
      <c r="I100" s="16">
        <v>8</v>
      </c>
      <c r="J100" s="16">
        <v>9</v>
      </c>
      <c r="K100" s="16">
        <v>10</v>
      </c>
      <c r="L100" s="16">
        <v>11</v>
      </c>
      <c r="M100" s="16">
        <v>12</v>
      </c>
      <c r="N100" s="16">
        <v>13</v>
      </c>
      <c r="O100" s="16">
        <v>14</v>
      </c>
      <c r="P100" s="16">
        <v>15</v>
      </c>
      <c r="Q100" s="16">
        <v>16</v>
      </c>
      <c r="R100" s="16">
        <v>17</v>
      </c>
      <c r="S100" s="16">
        <v>18</v>
      </c>
      <c r="T100" s="16">
        <v>19</v>
      </c>
      <c r="U100" s="16">
        <v>20</v>
      </c>
      <c r="V100" s="16">
        <v>21</v>
      </c>
      <c r="W100" s="16">
        <v>22</v>
      </c>
      <c r="X100" s="16">
        <v>23</v>
      </c>
      <c r="Y100" s="16">
        <v>24</v>
      </c>
      <c r="Z100" s="16">
        <v>25</v>
      </c>
      <c r="AA100" s="16">
        <v>26</v>
      </c>
      <c r="AB100" s="16">
        <v>27</v>
      </c>
      <c r="AC100" s="16">
        <v>28</v>
      </c>
      <c r="AD100" s="16">
        <v>29</v>
      </c>
      <c r="AE100" s="16">
        <v>30</v>
      </c>
      <c r="AF100" s="16">
        <v>31</v>
      </c>
      <c r="AG100" s="16">
        <v>32</v>
      </c>
      <c r="AH100" s="16">
        <v>33</v>
      </c>
      <c r="AI100" s="16">
        <v>34</v>
      </c>
      <c r="AJ100" s="16">
        <v>35</v>
      </c>
      <c r="AK100" s="16">
        <v>36</v>
      </c>
    </row>
    <row r="101" spans="1:37" x14ac:dyDescent="0.25">
      <c r="A101" s="16" t="s">
        <v>84</v>
      </c>
      <c r="B101" s="16">
        <f>IncomeStatement_Year1!B46</f>
        <v>-32470.625952380953</v>
      </c>
      <c r="C101" s="16">
        <f>IncomeStatement_Year1!C46</f>
        <v>-8899.3079627634106</v>
      </c>
      <c r="D101" s="16">
        <f>IncomeStatement_Year1!D46</f>
        <v>-8572.047282786265</v>
      </c>
      <c r="E101" s="16">
        <f>IncomeStatement_Year1!E46</f>
        <v>-8222.6737793147931</v>
      </c>
      <c r="F101" s="16">
        <f>IncomeStatement_Year1!F46</f>
        <v>-7840.065898974457</v>
      </c>
      <c r="G101" s="16">
        <f>IncomeStatement_Year1!G46</f>
        <v>-7412.4677090831101</v>
      </c>
      <c r="H101" s="16">
        <f>IncomeStatement_Year1!H46</f>
        <v>-6449.3050330256137</v>
      </c>
      <c r="I101" s="16">
        <f>IncomeStatement_Year1!I46</f>
        <v>-5951.6903730364893</v>
      </c>
      <c r="J101" s="16">
        <f>IncomeStatement_Year1!J46</f>
        <v>-5415.399058233601</v>
      </c>
      <c r="K101" s="16">
        <f>IncomeStatement_Year1!K46</f>
        <v>-4833.9555141522615</v>
      </c>
      <c r="L101" s="16">
        <f>IncomeStatement_Year1!L46</f>
        <v>-4200.3054320163919</v>
      </c>
      <c r="M101" s="16">
        <f>IncomeStatement_Year1!M46</f>
        <v>-3506.7289502776539</v>
      </c>
      <c r="N101" s="16">
        <f>IncomeStatement_Year2!B46</f>
        <v>-25799.195699461576</v>
      </c>
      <c r="O101" s="16">
        <f>IncomeStatement_Year2!C46</f>
        <v>-1682.9031220459287</v>
      </c>
      <c r="P101" s="16">
        <f>IncomeStatement_Year2!D46</f>
        <v>-731.55743904965004</v>
      </c>
      <c r="Q101" s="16">
        <f>IncomeStatement_Year2!E46</f>
        <v>321.66749957848549</v>
      </c>
      <c r="R101" s="16">
        <f>IncomeStatement_Year2!F46</f>
        <v>1489.7050054941669</v>
      </c>
      <c r="S101" s="16">
        <f>IncomeStatement_Year2!G46</f>
        <v>2786.9275311328124</v>
      </c>
      <c r="T101" s="16">
        <f>IncomeStatement_Year2!H46</f>
        <v>4229.3271527584529</v>
      </c>
      <c r="U101" s="16">
        <f>IncomeStatement_Year2!I46</f>
        <v>5834.71689062733</v>
      </c>
      <c r="V101" s="16">
        <f>IncomeStatement_Year2!J46</f>
        <v>7622.9554755885401</v>
      </c>
      <c r="W101" s="16">
        <f>IncomeStatement_Year2!K46</f>
        <v>9616.1984824348474</v>
      </c>
      <c r="X101" s="16">
        <f>IncomeStatement_Year2!L46</f>
        <v>11839.179100474701</v>
      </c>
      <c r="Y101" s="16">
        <f>IncomeStatement_Year2!M46</f>
        <v>14319.522205921883</v>
      </c>
      <c r="Z101" s="16">
        <f>IncomeStatement_Year3!B46</f>
        <v>-6329.7685930756852</v>
      </c>
      <c r="AA101" s="16">
        <f>IncomeStatement_Year3!C46</f>
        <v>20038.094575755571</v>
      </c>
      <c r="AB101" s="16">
        <f>IncomeStatement_Year3!D46</f>
        <v>23514.243486938121</v>
      </c>
      <c r="AC101" s="16">
        <f>IncomeStatement_Year3!E46</f>
        <v>27397.215073723379</v>
      </c>
      <c r="AD101" s="16">
        <f>IncomeStatement_Year3!F46</f>
        <v>31735.5218421926</v>
      </c>
      <c r="AE101" s="16">
        <f>IncomeStatement_Year3!G46</f>
        <v>36583.443979352407</v>
      </c>
      <c r="AF101" s="16">
        <f>IncomeStatement_Year3!H46</f>
        <v>42001.726687055678</v>
      </c>
      <c r="AG101" s="16">
        <f>IncomeStatement_Year3!I46</f>
        <v>48058.36198164057</v>
      </c>
      <c r="AH101" s="16">
        <f>IncomeStatement_Year3!J46</f>
        <v>54829.465338484973</v>
      </c>
      <c r="AI101" s="16">
        <f>IncomeStatement_Year3!K46</f>
        <v>62400.258842350704</v>
      </c>
      <c r="AJ101" s="16">
        <f>IncomeStatement_Year3!L46</f>
        <v>70866.173946339579</v>
      </c>
      <c r="AK101" s="16">
        <f>IncomeStatement_Year3!M46</f>
        <v>80334.088564673642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opLeftCell="A47" workbookViewId="0">
      <selection activeCell="B70" sqref="B70"/>
    </sheetView>
  </sheetViews>
  <sheetFormatPr defaultRowHeight="15" x14ac:dyDescent="0.25"/>
  <cols>
    <col min="1" max="1" width="40" customWidth="1"/>
    <col min="2" max="2" width="40" bestFit="1" customWidth="1"/>
    <col min="3" max="3" width="29.42578125" bestFit="1" customWidth="1"/>
    <col min="4" max="4" width="15.28515625" bestFit="1" customWidth="1"/>
    <col min="5" max="5" width="18.7109375" bestFit="1" customWidth="1"/>
    <col min="6" max="6" width="11.7109375" bestFit="1" customWidth="1"/>
    <col min="7" max="23" width="21.140625" bestFit="1" customWidth="1"/>
    <col min="24" max="24" width="20" bestFit="1" customWidth="1"/>
    <col min="25" max="26" width="21.140625" bestFit="1" customWidth="1"/>
    <col min="27" max="27" width="20" bestFit="1" customWidth="1"/>
    <col min="28" max="36" width="21.140625" bestFit="1" customWidth="1"/>
    <col min="37" max="37" width="12.85546875" bestFit="1" customWidth="1"/>
  </cols>
  <sheetData>
    <row r="1" spans="1:2" x14ac:dyDescent="0.25">
      <c r="A1" t="s">
        <v>0</v>
      </c>
      <c r="B1" t="s">
        <v>246</v>
      </c>
    </row>
    <row r="3" spans="1:2" ht="30" x14ac:dyDescent="0.25">
      <c r="A3" s="1" t="s">
        <v>1</v>
      </c>
      <c r="B3" s="18">
        <v>1</v>
      </c>
    </row>
    <row r="4" spans="1:2" ht="30" x14ac:dyDescent="0.25">
      <c r="A4" s="1" t="s">
        <v>2</v>
      </c>
      <c r="B4" s="19">
        <v>1000</v>
      </c>
    </row>
    <row r="6" spans="1:2" x14ac:dyDescent="0.25">
      <c r="A6" s="4" t="s">
        <v>3</v>
      </c>
    </row>
    <row r="7" spans="1:2" x14ac:dyDescent="0.25">
      <c r="A7" s="4" t="s">
        <v>4</v>
      </c>
    </row>
    <row r="8" spans="1:2" x14ac:dyDescent="0.25">
      <c r="A8" t="s">
        <v>5</v>
      </c>
      <c r="B8" s="19">
        <v>0</v>
      </c>
    </row>
    <row r="11" spans="1:2" x14ac:dyDescent="0.25">
      <c r="A11" t="s">
        <v>6</v>
      </c>
      <c r="B11" s="3">
        <f>IF(LoanModule!C5&lt;=1,LoanModule!C2,0)</f>
        <v>0</v>
      </c>
    </row>
    <row r="12" spans="1:2" x14ac:dyDescent="0.25">
      <c r="A12" t="s">
        <v>7</v>
      </c>
      <c r="B12" s="3">
        <f>IF(C18=0,B18,0)</f>
        <v>0</v>
      </c>
    </row>
    <row r="13" spans="1:2" x14ac:dyDescent="0.25">
      <c r="A13" t="s">
        <v>8</v>
      </c>
      <c r="B13" s="3">
        <f>IF(LoanModule!C5&gt;1,LoanModule!C2,0)</f>
        <v>0</v>
      </c>
    </row>
    <row r="14" spans="1:2" x14ac:dyDescent="0.25">
      <c r="A14" t="s">
        <v>9</v>
      </c>
      <c r="B14" s="3">
        <f>IF(C18&gt;0,B18,0)</f>
        <v>0</v>
      </c>
    </row>
    <row r="15" spans="1:2" x14ac:dyDescent="0.25">
      <c r="A15" s="4" t="s">
        <v>10</v>
      </c>
      <c r="B15" s="3">
        <f>B8+B11+B12</f>
        <v>0</v>
      </c>
    </row>
    <row r="17" spans="1:37" x14ac:dyDescent="0.25">
      <c r="B17" t="s">
        <v>11</v>
      </c>
      <c r="C17" t="s">
        <v>12</v>
      </c>
    </row>
    <row r="18" spans="1:37" x14ac:dyDescent="0.25">
      <c r="A18" t="s">
        <v>130</v>
      </c>
      <c r="B18" s="19">
        <v>0</v>
      </c>
      <c r="C18">
        <v>0</v>
      </c>
    </row>
    <row r="20" spans="1:37" x14ac:dyDescent="0.25">
      <c r="A20" t="s">
        <v>13</v>
      </c>
    </row>
    <row r="22" spans="1:37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</row>
    <row r="23" spans="1:37" x14ac:dyDescent="0.25">
      <c r="A23" t="s">
        <v>237</v>
      </c>
      <c r="B23" s="19">
        <f>StartupDetails!B25</f>
        <v>8500</v>
      </c>
      <c r="C23" s="20">
        <v>7</v>
      </c>
      <c r="D23" s="19">
        <v>0</v>
      </c>
      <c r="E23" s="20">
        <v>0</v>
      </c>
    </row>
    <row r="25" spans="1:37" x14ac:dyDescent="0.25">
      <c r="A25" t="s">
        <v>239</v>
      </c>
      <c r="B25" t="s">
        <v>15</v>
      </c>
      <c r="C25" t="s">
        <v>16</v>
      </c>
      <c r="D25" t="s">
        <v>17</v>
      </c>
      <c r="E25" t="s">
        <v>18</v>
      </c>
    </row>
    <row r="26" spans="1:37" x14ac:dyDescent="0.25">
      <c r="A26" t="s">
        <v>239</v>
      </c>
      <c r="B26" s="19">
        <f>StartupDetails!B32</f>
        <v>82000</v>
      </c>
      <c r="C26" s="20">
        <v>7</v>
      </c>
      <c r="D26" s="19">
        <v>0</v>
      </c>
      <c r="E26" s="20">
        <v>0</v>
      </c>
    </row>
    <row r="30" spans="1:37" x14ac:dyDescent="0.25"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K30">
        <v>10</v>
      </c>
      <c r="L30">
        <v>11</v>
      </c>
      <c r="M30">
        <v>12</v>
      </c>
      <c r="N30">
        <v>13</v>
      </c>
      <c r="O30">
        <v>14</v>
      </c>
      <c r="P30">
        <v>15</v>
      </c>
      <c r="Q30">
        <v>16</v>
      </c>
      <c r="R30">
        <v>17</v>
      </c>
      <c r="S30">
        <v>18</v>
      </c>
      <c r="T30">
        <v>19</v>
      </c>
      <c r="U30">
        <v>20</v>
      </c>
      <c r="V30">
        <v>21</v>
      </c>
      <c r="W30">
        <v>22</v>
      </c>
      <c r="X30">
        <v>23</v>
      </c>
      <c r="Y30">
        <v>24</v>
      </c>
      <c r="Z30">
        <v>25</v>
      </c>
      <c r="AA30">
        <v>26</v>
      </c>
      <c r="AB30">
        <v>27</v>
      </c>
      <c r="AC30">
        <v>28</v>
      </c>
      <c r="AD30">
        <v>29</v>
      </c>
      <c r="AE30">
        <v>30</v>
      </c>
      <c r="AF30">
        <v>31</v>
      </c>
      <c r="AG30">
        <v>32</v>
      </c>
      <c r="AH30">
        <v>33</v>
      </c>
      <c r="AI30">
        <v>34</v>
      </c>
      <c r="AJ30">
        <v>35</v>
      </c>
      <c r="AK30">
        <v>36</v>
      </c>
    </row>
    <row r="31" spans="1:37" x14ac:dyDescent="0.25">
      <c r="A31" t="s">
        <v>21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3" spans="1:37" x14ac:dyDescent="0.25">
      <c r="A33" t="s">
        <v>22</v>
      </c>
      <c r="B33">
        <v>1</v>
      </c>
      <c r="C33">
        <v>2</v>
      </c>
      <c r="D33">
        <v>3</v>
      </c>
      <c r="E33">
        <v>4</v>
      </c>
      <c r="F33">
        <v>5</v>
      </c>
      <c r="G33">
        <v>6</v>
      </c>
      <c r="H33">
        <v>7</v>
      </c>
      <c r="I33">
        <v>8</v>
      </c>
      <c r="J33">
        <v>9</v>
      </c>
      <c r="K33">
        <v>10</v>
      </c>
      <c r="L33">
        <v>11</v>
      </c>
      <c r="M33">
        <v>12</v>
      </c>
      <c r="N33">
        <v>13</v>
      </c>
      <c r="O33">
        <v>14</v>
      </c>
      <c r="P33">
        <v>15</v>
      </c>
      <c r="Q33">
        <v>16</v>
      </c>
      <c r="R33">
        <v>17</v>
      </c>
      <c r="S33">
        <v>18</v>
      </c>
      <c r="T33">
        <v>19</v>
      </c>
      <c r="U33">
        <v>20</v>
      </c>
      <c r="V33">
        <v>21</v>
      </c>
      <c r="W33">
        <v>22</v>
      </c>
      <c r="X33">
        <v>23</v>
      </c>
      <c r="Y33">
        <v>24</v>
      </c>
      <c r="Z33">
        <v>25</v>
      </c>
      <c r="AA33">
        <v>26</v>
      </c>
      <c r="AB33">
        <v>27</v>
      </c>
      <c r="AC33">
        <v>28</v>
      </c>
      <c r="AD33">
        <v>29</v>
      </c>
      <c r="AE33">
        <v>30</v>
      </c>
      <c r="AF33">
        <v>31</v>
      </c>
      <c r="AG33">
        <v>32</v>
      </c>
      <c r="AH33">
        <v>33</v>
      </c>
      <c r="AI33">
        <v>34</v>
      </c>
      <c r="AJ33">
        <v>35</v>
      </c>
      <c r="AK33">
        <v>36</v>
      </c>
    </row>
    <row r="34" spans="1:37" x14ac:dyDescent="0.25">
      <c r="A34" t="s">
        <v>23</v>
      </c>
      <c r="B34" s="19">
        <v>100</v>
      </c>
      <c r="C34" s="19">
        <v>101</v>
      </c>
      <c r="D34" s="19">
        <v>102</v>
      </c>
      <c r="E34" s="19">
        <v>103</v>
      </c>
      <c r="F34" s="19">
        <v>104</v>
      </c>
      <c r="G34" s="19">
        <v>105</v>
      </c>
      <c r="H34" s="19">
        <v>106</v>
      </c>
      <c r="I34" s="19">
        <v>107</v>
      </c>
      <c r="J34" s="19">
        <v>108</v>
      </c>
      <c r="K34" s="19">
        <v>109</v>
      </c>
      <c r="L34" s="19">
        <v>110</v>
      </c>
      <c r="M34" s="19">
        <v>111</v>
      </c>
      <c r="N34" s="19">
        <v>112</v>
      </c>
      <c r="O34" s="19">
        <v>113</v>
      </c>
      <c r="P34" s="19">
        <v>114</v>
      </c>
      <c r="Q34" s="19">
        <v>115</v>
      </c>
      <c r="R34" s="19">
        <v>116</v>
      </c>
      <c r="S34" s="19">
        <v>117</v>
      </c>
      <c r="T34" s="19">
        <v>118</v>
      </c>
      <c r="U34" s="19">
        <v>119</v>
      </c>
      <c r="V34" s="19">
        <v>120</v>
      </c>
      <c r="W34" s="19">
        <v>121</v>
      </c>
      <c r="X34" s="19">
        <v>122</v>
      </c>
      <c r="Y34" s="19">
        <v>123</v>
      </c>
      <c r="Z34" s="19">
        <v>124</v>
      </c>
      <c r="AA34" s="19">
        <v>125</v>
      </c>
      <c r="AB34" s="19">
        <v>126</v>
      </c>
      <c r="AC34" s="19">
        <v>127</v>
      </c>
      <c r="AD34" s="19">
        <v>128</v>
      </c>
      <c r="AE34" s="19">
        <v>129</v>
      </c>
      <c r="AF34" s="19">
        <v>130</v>
      </c>
      <c r="AG34" s="19">
        <v>131</v>
      </c>
      <c r="AH34" s="19">
        <v>132</v>
      </c>
      <c r="AI34" s="19">
        <v>133</v>
      </c>
      <c r="AJ34" s="19">
        <v>134</v>
      </c>
      <c r="AK34" s="19">
        <v>135</v>
      </c>
    </row>
    <row r="35" spans="1:37" x14ac:dyDescent="0.25">
      <c r="A35" t="s">
        <v>24</v>
      </c>
      <c r="B35" s="19">
        <f>RevenueModule!B7+StartupDetails!B15</f>
        <v>7000.17</v>
      </c>
      <c r="C35" s="19">
        <f>RevenueModule!C7</f>
        <v>110.00000000000001</v>
      </c>
      <c r="D35" s="19">
        <f>RevenueModule!D7</f>
        <v>121.00000000000003</v>
      </c>
      <c r="E35" s="19">
        <f>RevenueModule!E7</f>
        <v>133.10000000000005</v>
      </c>
      <c r="F35" s="19">
        <f>RevenueModule!F7</f>
        <v>146.41000000000008</v>
      </c>
      <c r="G35" s="19">
        <f>RevenueModule!G7</f>
        <v>161.0510000000001</v>
      </c>
      <c r="H35" s="19">
        <f>RevenueModule!H7</f>
        <v>177.15610000000012</v>
      </c>
      <c r="I35" s="19">
        <f>RevenueModule!I7</f>
        <v>194.87171000000015</v>
      </c>
      <c r="J35" s="19">
        <f>RevenueModule!J7</f>
        <v>214.3588810000002</v>
      </c>
      <c r="K35" s="19">
        <f>RevenueModule!K7</f>
        <v>235.79476910000022</v>
      </c>
      <c r="L35" s="19">
        <f>RevenueModule!L7</f>
        <v>259.37424601000026</v>
      </c>
      <c r="M35" s="19">
        <f>RevenueModule!M7</f>
        <v>285.3116706110003</v>
      </c>
      <c r="N35" s="19">
        <f>RevenueModule!N7</f>
        <v>313.84283767210036</v>
      </c>
      <c r="O35" s="19">
        <f>RevenueModule!O7</f>
        <v>345.22712143931039</v>
      </c>
      <c r="P35" s="19">
        <f>RevenueModule!P7</f>
        <v>379.74983358324147</v>
      </c>
      <c r="Q35" s="19">
        <f>RevenueModule!Q7</f>
        <v>417.72481694156562</v>
      </c>
      <c r="R35" s="19">
        <f>RevenueModule!R7</f>
        <v>459.49729863572225</v>
      </c>
      <c r="S35" s="19">
        <f>RevenueModule!S7</f>
        <v>505.4470284992945</v>
      </c>
      <c r="T35" s="19">
        <f>RevenueModule!T7</f>
        <v>555.99173134922398</v>
      </c>
      <c r="U35" s="19">
        <f>RevenueModule!U7</f>
        <v>611.59090448414645</v>
      </c>
      <c r="V35" s="19">
        <f>RevenueModule!V7</f>
        <v>672.74999493256109</v>
      </c>
      <c r="W35" s="19">
        <f>RevenueModule!W7</f>
        <v>740.02499442581723</v>
      </c>
      <c r="X35" s="19">
        <f>RevenueModule!X7</f>
        <v>814.02749386839901</v>
      </c>
      <c r="Y35" s="19">
        <f>RevenueModule!Y7</f>
        <v>895.43024325523902</v>
      </c>
      <c r="Z35" s="19">
        <f>RevenueModule!Z7</f>
        <v>984.97326758076304</v>
      </c>
      <c r="AA35" s="19">
        <f>RevenueModule!AA7</f>
        <v>1083.4705943388394</v>
      </c>
      <c r="AB35" s="19">
        <f>RevenueModule!AB7</f>
        <v>1191.8176537727234</v>
      </c>
      <c r="AC35" s="19">
        <f>RevenueModule!AC7</f>
        <v>1310.9994191499959</v>
      </c>
      <c r="AD35" s="19">
        <f>RevenueModule!AD7</f>
        <v>1442.0993610649957</v>
      </c>
      <c r="AE35" s="19">
        <f>RevenueModule!AE7</f>
        <v>1586.3092971714955</v>
      </c>
      <c r="AF35" s="19">
        <f>RevenueModule!AF7</f>
        <v>1744.9402268886452</v>
      </c>
      <c r="AG35" s="19">
        <f>RevenueModule!AG7</f>
        <v>1919.4342495775097</v>
      </c>
      <c r="AH35" s="19">
        <f>RevenueModule!AH7</f>
        <v>2111.3776745352607</v>
      </c>
      <c r="AI35" s="19">
        <f>RevenueModule!AI7</f>
        <v>2322.5154419887867</v>
      </c>
      <c r="AJ35" s="19">
        <f>RevenueModule!AJ7</f>
        <v>2554.7669861876657</v>
      </c>
      <c r="AK35" s="19">
        <f>RevenueModule!AK7</f>
        <v>2810.2436848064326</v>
      </c>
    </row>
    <row r="36" spans="1:37" x14ac:dyDescent="0.25">
      <c r="A36" t="s">
        <v>25</v>
      </c>
      <c r="B36" s="19">
        <f>StartupDetails!B29</f>
        <v>6500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f>B36</f>
        <v>6500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f>B36</f>
        <v>6500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</row>
    <row r="37" spans="1:37" x14ac:dyDescent="0.25">
      <c r="A37" t="s">
        <v>240</v>
      </c>
      <c r="B37" s="19">
        <f>StartupDetails!B42</f>
        <v>9855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x14ac:dyDescent="0.25">
      <c r="A38" t="s">
        <v>26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x14ac:dyDescent="0.25">
      <c r="A39" t="s">
        <v>221</v>
      </c>
      <c r="B39" s="19">
        <v>300</v>
      </c>
      <c r="C39" s="19">
        <v>300</v>
      </c>
      <c r="D39" s="19">
        <v>300</v>
      </c>
      <c r="E39" s="19">
        <v>300</v>
      </c>
      <c r="F39" s="19">
        <v>300</v>
      </c>
      <c r="G39" s="19">
        <v>300</v>
      </c>
      <c r="H39" s="19">
        <v>300</v>
      </c>
      <c r="I39" s="19">
        <v>300</v>
      </c>
      <c r="J39" s="19">
        <v>300</v>
      </c>
      <c r="K39" s="19">
        <v>300</v>
      </c>
      <c r="L39" s="19">
        <v>300</v>
      </c>
      <c r="M39" s="19">
        <v>300</v>
      </c>
      <c r="N39" s="19">
        <v>300</v>
      </c>
      <c r="O39" s="19">
        <v>300</v>
      </c>
      <c r="P39" s="19">
        <v>300</v>
      </c>
      <c r="Q39" s="19">
        <v>300</v>
      </c>
      <c r="R39" s="19">
        <v>300</v>
      </c>
      <c r="S39" s="19">
        <v>300</v>
      </c>
      <c r="T39" s="19">
        <v>300</v>
      </c>
      <c r="U39" s="19">
        <v>300</v>
      </c>
      <c r="V39" s="19">
        <v>300</v>
      </c>
      <c r="W39" s="19">
        <v>300</v>
      </c>
      <c r="X39" s="19">
        <v>300</v>
      </c>
      <c r="Y39" s="19">
        <v>300</v>
      </c>
      <c r="Z39" s="19">
        <v>300</v>
      </c>
      <c r="AA39" s="19">
        <v>300</v>
      </c>
      <c r="AB39" s="19">
        <v>300</v>
      </c>
      <c r="AC39" s="19">
        <v>300</v>
      </c>
      <c r="AD39" s="19">
        <v>300</v>
      </c>
      <c r="AE39" s="19">
        <v>300</v>
      </c>
      <c r="AF39" s="19">
        <v>300</v>
      </c>
      <c r="AG39" s="19">
        <v>300</v>
      </c>
      <c r="AH39" s="19">
        <v>300</v>
      </c>
      <c r="AI39" s="19">
        <v>300</v>
      </c>
      <c r="AJ39" s="19">
        <v>300</v>
      </c>
      <c r="AK39" s="19">
        <v>300</v>
      </c>
    </row>
    <row r="40" spans="1:37" x14ac:dyDescent="0.25">
      <c r="A40" t="s">
        <v>220</v>
      </c>
      <c r="B40" s="19">
        <v>125</v>
      </c>
      <c r="C40" s="19">
        <v>125</v>
      </c>
      <c r="D40" s="19">
        <v>125</v>
      </c>
      <c r="E40" s="19">
        <v>125</v>
      </c>
      <c r="F40" s="19">
        <v>125</v>
      </c>
      <c r="G40" s="19">
        <v>125</v>
      </c>
      <c r="H40" s="19">
        <v>125</v>
      </c>
      <c r="I40" s="19">
        <v>125</v>
      </c>
      <c r="J40" s="19">
        <v>125</v>
      </c>
      <c r="K40" s="19">
        <v>125</v>
      </c>
      <c r="L40" s="19">
        <v>125</v>
      </c>
      <c r="M40" s="19">
        <v>125</v>
      </c>
      <c r="N40" s="19">
        <v>125</v>
      </c>
      <c r="O40" s="19">
        <v>125</v>
      </c>
      <c r="P40" s="19">
        <v>125</v>
      </c>
      <c r="Q40" s="19">
        <v>125</v>
      </c>
      <c r="R40" s="19">
        <v>125</v>
      </c>
      <c r="S40" s="19">
        <v>125</v>
      </c>
      <c r="T40" s="19">
        <v>125</v>
      </c>
      <c r="U40" s="19">
        <v>125</v>
      </c>
      <c r="V40" s="19">
        <v>125</v>
      </c>
      <c r="W40" s="19">
        <v>125</v>
      </c>
      <c r="X40" s="19">
        <v>125</v>
      </c>
      <c r="Y40" s="19">
        <v>125</v>
      </c>
      <c r="Z40" s="19">
        <v>125</v>
      </c>
      <c r="AA40" s="19">
        <v>125</v>
      </c>
      <c r="AB40" s="19">
        <v>125</v>
      </c>
      <c r="AC40" s="19">
        <v>125</v>
      </c>
      <c r="AD40" s="19">
        <v>125</v>
      </c>
      <c r="AE40" s="19">
        <v>125</v>
      </c>
      <c r="AF40" s="19">
        <v>125</v>
      </c>
      <c r="AG40" s="19">
        <v>125</v>
      </c>
      <c r="AH40" s="19">
        <v>125</v>
      </c>
      <c r="AI40" s="19">
        <v>125</v>
      </c>
      <c r="AJ40" s="19">
        <v>125</v>
      </c>
      <c r="AK40" s="19">
        <v>125</v>
      </c>
    </row>
    <row r="41" spans="1:37" ht="14.1" customHeight="1" x14ac:dyDescent="0.25">
      <c r="A41" t="s">
        <v>222</v>
      </c>
      <c r="B41" s="19">
        <v>50</v>
      </c>
      <c r="C41" s="19">
        <v>50</v>
      </c>
      <c r="D41" s="19">
        <v>50</v>
      </c>
      <c r="E41" s="19">
        <v>50</v>
      </c>
      <c r="F41" s="19">
        <v>50</v>
      </c>
      <c r="G41" s="19">
        <v>50</v>
      </c>
      <c r="H41" s="19">
        <v>50</v>
      </c>
      <c r="I41" s="19">
        <v>50</v>
      </c>
      <c r="J41" s="19">
        <v>50</v>
      </c>
      <c r="K41" s="19">
        <v>50</v>
      </c>
      <c r="L41" s="19">
        <v>50</v>
      </c>
      <c r="M41" s="19">
        <v>50</v>
      </c>
      <c r="N41" s="19">
        <v>50</v>
      </c>
      <c r="O41" s="19">
        <v>50</v>
      </c>
      <c r="P41" s="19">
        <v>50</v>
      </c>
      <c r="Q41" s="19">
        <v>50</v>
      </c>
      <c r="R41" s="19">
        <v>50</v>
      </c>
      <c r="S41" s="19">
        <v>50</v>
      </c>
      <c r="T41" s="19">
        <v>50</v>
      </c>
      <c r="U41" s="19">
        <v>50</v>
      </c>
      <c r="V41" s="19">
        <v>50</v>
      </c>
      <c r="W41" s="19">
        <v>50</v>
      </c>
      <c r="X41" s="19">
        <v>50</v>
      </c>
      <c r="Y41" s="19">
        <v>50</v>
      </c>
      <c r="Z41" s="19">
        <v>50</v>
      </c>
      <c r="AA41" s="19">
        <v>50</v>
      </c>
      <c r="AB41" s="19">
        <v>50</v>
      </c>
      <c r="AC41" s="19">
        <v>50</v>
      </c>
      <c r="AD41" s="19">
        <v>50</v>
      </c>
      <c r="AE41" s="19">
        <v>50</v>
      </c>
      <c r="AF41" s="19">
        <v>50</v>
      </c>
      <c r="AG41" s="19">
        <v>50</v>
      </c>
      <c r="AH41" s="19">
        <v>50</v>
      </c>
      <c r="AI41" s="19">
        <v>50</v>
      </c>
      <c r="AJ41" s="19">
        <v>50</v>
      </c>
      <c r="AK41" s="19">
        <v>50</v>
      </c>
    </row>
    <row r="42" spans="1:37" ht="14.1" customHeight="1" x14ac:dyDescent="0.25">
      <c r="A42" t="s">
        <v>27</v>
      </c>
      <c r="B42" s="19">
        <v>4875</v>
      </c>
      <c r="C42" s="19">
        <v>4875</v>
      </c>
      <c r="D42" s="19">
        <v>4875</v>
      </c>
      <c r="E42" s="19">
        <v>4875</v>
      </c>
      <c r="F42" s="19">
        <v>4875</v>
      </c>
      <c r="G42" s="19">
        <v>4875</v>
      </c>
      <c r="H42" s="19">
        <v>4875</v>
      </c>
      <c r="I42" s="19">
        <v>4875</v>
      </c>
      <c r="J42" s="19">
        <v>4875</v>
      </c>
      <c r="K42" s="19">
        <v>4875</v>
      </c>
      <c r="L42" s="19">
        <v>4875</v>
      </c>
      <c r="M42" s="19">
        <v>4875</v>
      </c>
      <c r="N42" s="19">
        <v>4875</v>
      </c>
      <c r="O42" s="19">
        <v>4875</v>
      </c>
      <c r="P42" s="19">
        <v>4875</v>
      </c>
      <c r="Q42" s="19">
        <v>4875</v>
      </c>
      <c r="R42" s="19">
        <v>4875</v>
      </c>
      <c r="S42" s="19">
        <v>4875</v>
      </c>
      <c r="T42" s="19">
        <v>4875</v>
      </c>
      <c r="U42" s="19">
        <v>4875</v>
      </c>
      <c r="V42" s="19">
        <v>4875</v>
      </c>
      <c r="W42" s="19">
        <v>4875</v>
      </c>
      <c r="X42" s="19">
        <v>4875</v>
      </c>
      <c r="Y42" s="19">
        <v>4875</v>
      </c>
      <c r="Z42" s="19">
        <v>4875</v>
      </c>
      <c r="AA42" s="19">
        <v>4875</v>
      </c>
      <c r="AB42" s="19">
        <v>4875</v>
      </c>
      <c r="AC42" s="19">
        <v>4875</v>
      </c>
      <c r="AD42" s="19">
        <v>4875</v>
      </c>
      <c r="AE42" s="19">
        <v>4875</v>
      </c>
      <c r="AF42" s="19">
        <v>4875</v>
      </c>
      <c r="AG42" s="19">
        <v>4875</v>
      </c>
      <c r="AH42" s="19">
        <v>4875</v>
      </c>
      <c r="AI42" s="19">
        <v>4875</v>
      </c>
      <c r="AJ42" s="19">
        <v>4875</v>
      </c>
      <c r="AK42" s="19">
        <v>4875</v>
      </c>
    </row>
    <row r="43" spans="1:37" ht="14.1" customHeight="1" x14ac:dyDescent="0.25">
      <c r="A43" t="s">
        <v>219</v>
      </c>
      <c r="B43" s="19">
        <v>100</v>
      </c>
      <c r="C43" s="19">
        <v>100</v>
      </c>
      <c r="D43" s="19">
        <v>100</v>
      </c>
      <c r="E43" s="19">
        <v>100</v>
      </c>
      <c r="F43" s="19">
        <v>100</v>
      </c>
      <c r="G43" s="19">
        <v>100</v>
      </c>
      <c r="H43" s="19">
        <v>100</v>
      </c>
      <c r="I43" s="19">
        <v>100</v>
      </c>
      <c r="J43" s="19">
        <v>100</v>
      </c>
      <c r="K43" s="19">
        <v>100</v>
      </c>
      <c r="L43" s="19">
        <v>100</v>
      </c>
      <c r="M43" s="19">
        <v>100</v>
      </c>
      <c r="N43" s="19">
        <v>100</v>
      </c>
      <c r="O43" s="19">
        <v>100</v>
      </c>
      <c r="P43" s="19">
        <v>100</v>
      </c>
      <c r="Q43" s="19">
        <v>100</v>
      </c>
      <c r="R43" s="19">
        <v>100</v>
      </c>
      <c r="S43" s="19">
        <v>100</v>
      </c>
      <c r="T43" s="19">
        <v>100</v>
      </c>
      <c r="U43" s="19">
        <v>100</v>
      </c>
      <c r="V43" s="19">
        <v>100</v>
      </c>
      <c r="W43" s="19">
        <v>100</v>
      </c>
      <c r="X43" s="19">
        <v>100</v>
      </c>
      <c r="Y43" s="19">
        <v>100</v>
      </c>
      <c r="Z43" s="19">
        <v>100</v>
      </c>
      <c r="AA43" s="19">
        <v>100</v>
      </c>
      <c r="AB43" s="19">
        <v>100</v>
      </c>
      <c r="AC43" s="19">
        <v>100</v>
      </c>
      <c r="AD43" s="19">
        <v>100</v>
      </c>
      <c r="AE43" s="19">
        <v>100</v>
      </c>
      <c r="AF43" s="19">
        <v>100</v>
      </c>
      <c r="AG43" s="19">
        <v>100</v>
      </c>
      <c r="AH43" s="19">
        <v>100</v>
      </c>
      <c r="AI43" s="19">
        <v>100</v>
      </c>
      <c r="AJ43" s="19">
        <v>100</v>
      </c>
      <c r="AK43" s="19">
        <v>100</v>
      </c>
    </row>
    <row r="44" spans="1:37" ht="14.1" customHeight="1" x14ac:dyDescent="0.25">
      <c r="A44" t="s">
        <v>28</v>
      </c>
      <c r="B44" s="19">
        <v>100</v>
      </c>
      <c r="C44" s="19">
        <v>100</v>
      </c>
      <c r="D44" s="19">
        <v>100</v>
      </c>
      <c r="E44" s="19">
        <v>100</v>
      </c>
      <c r="F44" s="19">
        <v>100</v>
      </c>
      <c r="G44" s="19">
        <v>100</v>
      </c>
      <c r="H44" s="19">
        <v>100</v>
      </c>
      <c r="I44" s="19">
        <v>100</v>
      </c>
      <c r="J44" s="19">
        <v>100</v>
      </c>
      <c r="K44" s="19">
        <v>100</v>
      </c>
      <c r="L44" s="19">
        <v>100</v>
      </c>
      <c r="M44" s="19">
        <v>100</v>
      </c>
      <c r="N44" s="19">
        <v>100</v>
      </c>
      <c r="O44" s="19">
        <v>100</v>
      </c>
      <c r="P44" s="19">
        <v>100</v>
      </c>
      <c r="Q44" s="19">
        <v>100</v>
      </c>
      <c r="R44" s="19">
        <v>100</v>
      </c>
      <c r="S44" s="19">
        <v>100</v>
      </c>
      <c r="T44" s="19">
        <v>100</v>
      </c>
      <c r="U44" s="19">
        <v>100</v>
      </c>
      <c r="V44" s="19">
        <v>100</v>
      </c>
      <c r="W44" s="19">
        <v>100</v>
      </c>
      <c r="X44" s="19">
        <v>100</v>
      </c>
      <c r="Y44" s="19">
        <v>100</v>
      </c>
      <c r="Z44" s="19">
        <v>100</v>
      </c>
      <c r="AA44" s="19">
        <v>100</v>
      </c>
      <c r="AB44" s="19">
        <v>100</v>
      </c>
      <c r="AC44" s="19">
        <v>100</v>
      </c>
      <c r="AD44" s="19">
        <v>100</v>
      </c>
      <c r="AE44" s="19">
        <v>100</v>
      </c>
      <c r="AF44" s="19">
        <v>100</v>
      </c>
      <c r="AG44" s="19">
        <v>100</v>
      </c>
      <c r="AH44" s="19">
        <v>100</v>
      </c>
      <c r="AI44" s="19">
        <v>100</v>
      </c>
      <c r="AJ44" s="19">
        <v>100</v>
      </c>
      <c r="AK44" s="19">
        <v>100</v>
      </c>
    </row>
    <row r="45" spans="1:37" x14ac:dyDescent="0.25">
      <c r="A45" t="s">
        <v>224</v>
      </c>
      <c r="B45" s="19">
        <v>300</v>
      </c>
      <c r="C45" s="19">
        <v>300</v>
      </c>
      <c r="D45" s="19">
        <v>300</v>
      </c>
      <c r="E45" s="19">
        <v>300</v>
      </c>
      <c r="F45" s="19">
        <v>300</v>
      </c>
      <c r="G45" s="19">
        <v>300</v>
      </c>
      <c r="H45" s="19">
        <v>300</v>
      </c>
      <c r="I45" s="19">
        <v>300</v>
      </c>
      <c r="J45" s="19">
        <v>300</v>
      </c>
      <c r="K45" s="19">
        <v>300</v>
      </c>
      <c r="L45" s="19">
        <v>300</v>
      </c>
      <c r="M45" s="19">
        <v>300</v>
      </c>
      <c r="N45" s="19">
        <v>300</v>
      </c>
      <c r="O45" s="19">
        <v>300</v>
      </c>
      <c r="P45" s="19">
        <v>300</v>
      </c>
      <c r="Q45" s="19">
        <v>300</v>
      </c>
      <c r="R45" s="19">
        <v>300</v>
      </c>
      <c r="S45" s="19">
        <v>300</v>
      </c>
      <c r="T45" s="19">
        <v>300</v>
      </c>
      <c r="U45" s="19">
        <v>300</v>
      </c>
      <c r="V45" s="19">
        <v>300</v>
      </c>
      <c r="W45" s="19">
        <v>300</v>
      </c>
      <c r="X45" s="19">
        <v>300</v>
      </c>
      <c r="Y45" s="19">
        <v>300</v>
      </c>
      <c r="Z45" s="19">
        <v>300</v>
      </c>
      <c r="AA45" s="19">
        <v>300</v>
      </c>
      <c r="AB45" s="19">
        <v>300</v>
      </c>
      <c r="AC45" s="19">
        <v>300</v>
      </c>
      <c r="AD45" s="19">
        <v>300</v>
      </c>
      <c r="AE45" s="19">
        <v>300</v>
      </c>
      <c r="AF45" s="19">
        <v>300</v>
      </c>
      <c r="AG45" s="19">
        <v>300</v>
      </c>
      <c r="AH45" s="19">
        <v>300</v>
      </c>
      <c r="AI45" s="19">
        <v>300</v>
      </c>
      <c r="AJ45" s="19">
        <v>300</v>
      </c>
      <c r="AK45" s="19">
        <v>300</v>
      </c>
    </row>
    <row r="46" spans="1:37" ht="14.1" customHeight="1" x14ac:dyDescent="0.25">
      <c r="A46" t="s">
        <v>29</v>
      </c>
      <c r="B46" s="19">
        <v>200</v>
      </c>
      <c r="C46" s="19">
        <v>200</v>
      </c>
      <c r="D46" s="19">
        <v>200</v>
      </c>
      <c r="E46" s="19">
        <v>200</v>
      </c>
      <c r="F46" s="19">
        <v>200</v>
      </c>
      <c r="G46" s="19">
        <v>200</v>
      </c>
      <c r="H46" s="19">
        <v>200</v>
      </c>
      <c r="I46" s="19">
        <v>200</v>
      </c>
      <c r="J46" s="19">
        <v>200</v>
      </c>
      <c r="K46" s="19">
        <v>200</v>
      </c>
      <c r="L46" s="19">
        <v>200</v>
      </c>
      <c r="M46" s="19">
        <v>200</v>
      </c>
      <c r="N46" s="19">
        <v>200</v>
      </c>
      <c r="O46" s="19">
        <v>200</v>
      </c>
      <c r="P46" s="19">
        <v>200</v>
      </c>
      <c r="Q46" s="19">
        <v>200</v>
      </c>
      <c r="R46" s="19">
        <v>200</v>
      </c>
      <c r="S46" s="19">
        <v>200</v>
      </c>
      <c r="T46" s="19">
        <v>200</v>
      </c>
      <c r="U46" s="19">
        <v>200</v>
      </c>
      <c r="V46" s="19">
        <v>200</v>
      </c>
      <c r="W46" s="19">
        <v>200</v>
      </c>
      <c r="X46" s="19">
        <v>200</v>
      </c>
      <c r="Y46" s="19">
        <v>200</v>
      </c>
      <c r="Z46" s="19">
        <v>200</v>
      </c>
      <c r="AA46" s="19">
        <v>200</v>
      </c>
      <c r="AB46" s="19">
        <v>200</v>
      </c>
      <c r="AC46" s="19">
        <v>200</v>
      </c>
      <c r="AD46" s="19">
        <v>200</v>
      </c>
      <c r="AE46" s="19">
        <v>200</v>
      </c>
      <c r="AF46" s="19">
        <v>200</v>
      </c>
      <c r="AG46" s="19">
        <v>200</v>
      </c>
      <c r="AH46" s="19">
        <v>200</v>
      </c>
      <c r="AI46" s="19">
        <v>200</v>
      </c>
      <c r="AJ46" s="19">
        <v>200</v>
      </c>
      <c r="AK46" s="19">
        <v>200</v>
      </c>
    </row>
    <row r="47" spans="1:37" ht="14.1" customHeight="1" x14ac:dyDescent="0.25">
      <c r="A47" t="s">
        <v>223</v>
      </c>
      <c r="B47" s="19">
        <v>50</v>
      </c>
      <c r="C47" s="19">
        <v>50</v>
      </c>
      <c r="D47" s="19">
        <v>50</v>
      </c>
      <c r="E47" s="19">
        <v>50</v>
      </c>
      <c r="F47" s="19">
        <v>50</v>
      </c>
      <c r="G47" s="19">
        <v>50</v>
      </c>
      <c r="H47" s="19">
        <v>50</v>
      </c>
      <c r="I47" s="19">
        <v>50</v>
      </c>
      <c r="J47" s="19">
        <v>50</v>
      </c>
      <c r="K47" s="19">
        <v>50</v>
      </c>
      <c r="L47" s="19">
        <v>50</v>
      </c>
      <c r="M47" s="19">
        <v>50</v>
      </c>
      <c r="N47" s="19">
        <v>50</v>
      </c>
      <c r="O47" s="19">
        <v>50</v>
      </c>
      <c r="P47" s="19">
        <v>50</v>
      </c>
      <c r="Q47" s="19">
        <v>50</v>
      </c>
      <c r="R47" s="19">
        <v>50</v>
      </c>
      <c r="S47" s="19">
        <v>50</v>
      </c>
      <c r="T47" s="19">
        <v>50</v>
      </c>
      <c r="U47" s="19">
        <v>50</v>
      </c>
      <c r="V47" s="19">
        <v>50</v>
      </c>
      <c r="W47" s="19">
        <v>50</v>
      </c>
      <c r="X47" s="19">
        <v>50</v>
      </c>
      <c r="Y47" s="19">
        <v>50</v>
      </c>
      <c r="Z47" s="19">
        <v>50</v>
      </c>
      <c r="AA47" s="19">
        <v>50</v>
      </c>
      <c r="AB47" s="19">
        <v>50</v>
      </c>
      <c r="AC47" s="19">
        <v>50</v>
      </c>
      <c r="AD47" s="19">
        <v>50</v>
      </c>
      <c r="AE47" s="19">
        <v>50</v>
      </c>
      <c r="AF47" s="19">
        <v>50</v>
      </c>
      <c r="AG47" s="19">
        <v>50</v>
      </c>
      <c r="AH47" s="19">
        <v>50</v>
      </c>
      <c r="AI47" s="19">
        <v>50</v>
      </c>
      <c r="AJ47" s="19">
        <v>50</v>
      </c>
      <c r="AK47" s="19">
        <v>50</v>
      </c>
    </row>
    <row r="48" spans="1:37" x14ac:dyDescent="0.25">
      <c r="A48" t="s">
        <v>225</v>
      </c>
      <c r="B48" s="19">
        <v>25</v>
      </c>
      <c r="C48" s="19">
        <v>25</v>
      </c>
      <c r="D48" s="19">
        <v>25</v>
      </c>
      <c r="E48" s="19">
        <v>25</v>
      </c>
      <c r="F48" s="19">
        <v>25</v>
      </c>
      <c r="G48" s="19">
        <v>25</v>
      </c>
      <c r="H48" s="19">
        <v>25</v>
      </c>
      <c r="I48" s="19">
        <v>25</v>
      </c>
      <c r="J48" s="19">
        <v>25</v>
      </c>
      <c r="K48" s="19">
        <v>25</v>
      </c>
      <c r="L48" s="19">
        <v>25</v>
      </c>
      <c r="M48" s="19">
        <v>25</v>
      </c>
      <c r="N48" s="19">
        <v>25</v>
      </c>
      <c r="O48" s="19">
        <v>25</v>
      </c>
      <c r="P48" s="19">
        <v>25</v>
      </c>
      <c r="Q48" s="19">
        <v>25</v>
      </c>
      <c r="R48" s="19">
        <v>25</v>
      </c>
      <c r="S48" s="19">
        <v>25</v>
      </c>
      <c r="T48" s="19">
        <v>25</v>
      </c>
      <c r="U48" s="19">
        <v>25</v>
      </c>
      <c r="V48" s="19">
        <v>25</v>
      </c>
      <c r="W48" s="19">
        <v>25</v>
      </c>
      <c r="X48" s="19">
        <v>25</v>
      </c>
      <c r="Y48" s="19">
        <v>25</v>
      </c>
      <c r="Z48" s="19">
        <v>25</v>
      </c>
      <c r="AA48" s="19">
        <v>25</v>
      </c>
      <c r="AB48" s="19">
        <v>25</v>
      </c>
      <c r="AC48" s="19">
        <v>25</v>
      </c>
      <c r="AD48" s="19">
        <v>25</v>
      </c>
      <c r="AE48" s="19">
        <v>25</v>
      </c>
      <c r="AF48" s="19">
        <v>25</v>
      </c>
      <c r="AG48" s="19">
        <v>25</v>
      </c>
      <c r="AH48" s="19">
        <v>25</v>
      </c>
      <c r="AI48" s="19">
        <v>25</v>
      </c>
      <c r="AJ48" s="19">
        <v>25</v>
      </c>
      <c r="AK48" s="19">
        <v>25</v>
      </c>
    </row>
    <row r="50" spans="1:37" x14ac:dyDescent="0.25">
      <c r="A50" t="s">
        <v>30</v>
      </c>
      <c r="B50" s="18">
        <v>0</v>
      </c>
    </row>
    <row r="51" spans="1:37" x14ac:dyDescent="0.25">
      <c r="A51" t="s">
        <v>31</v>
      </c>
      <c r="B51" s="18">
        <v>0.01</v>
      </c>
    </row>
    <row r="52" spans="1:37" x14ac:dyDescent="0.25">
      <c r="A52" t="s">
        <v>32</v>
      </c>
    </row>
    <row r="55" spans="1:37" x14ac:dyDescent="0.25">
      <c r="B55">
        <v>1</v>
      </c>
      <c r="C55">
        <v>2</v>
      </c>
      <c r="D55">
        <v>3</v>
      </c>
      <c r="E55">
        <v>4</v>
      </c>
      <c r="F55">
        <v>5</v>
      </c>
      <c r="G55">
        <v>6</v>
      </c>
      <c r="H55">
        <v>7</v>
      </c>
      <c r="I55">
        <v>8</v>
      </c>
      <c r="J55">
        <v>9</v>
      </c>
      <c r="K55">
        <v>10</v>
      </c>
      <c r="L55">
        <v>11</v>
      </c>
      <c r="M55">
        <v>12</v>
      </c>
      <c r="N55">
        <v>13</v>
      </c>
      <c r="O55">
        <v>14</v>
      </c>
      <c r="P55">
        <v>15</v>
      </c>
      <c r="Q55">
        <v>16</v>
      </c>
      <c r="R55">
        <v>17</v>
      </c>
      <c r="S55">
        <v>18</v>
      </c>
      <c r="T55">
        <v>19</v>
      </c>
      <c r="U55">
        <v>20</v>
      </c>
      <c r="V55">
        <v>21</v>
      </c>
      <c r="W55">
        <v>22</v>
      </c>
      <c r="X55">
        <v>23</v>
      </c>
      <c r="Y55">
        <v>24</v>
      </c>
      <c r="Z55">
        <v>25</v>
      </c>
      <c r="AA55">
        <v>26</v>
      </c>
      <c r="AB55">
        <v>27</v>
      </c>
      <c r="AC55">
        <v>28</v>
      </c>
      <c r="AD55">
        <v>29</v>
      </c>
      <c r="AE55">
        <v>30</v>
      </c>
      <c r="AF55">
        <v>31</v>
      </c>
      <c r="AG55">
        <v>32</v>
      </c>
      <c r="AH55">
        <v>33</v>
      </c>
      <c r="AI55">
        <v>34</v>
      </c>
      <c r="AJ55">
        <v>35</v>
      </c>
      <c r="AK55">
        <v>36</v>
      </c>
    </row>
    <row r="56" spans="1:37" x14ac:dyDescent="0.25">
      <c r="A56" t="s">
        <v>33</v>
      </c>
      <c r="B56" s="3">
        <f>RevenueModule!B86</f>
        <v>791.92499999999995</v>
      </c>
      <c r="C56" s="3">
        <f>RevenueModule!C86</f>
        <v>1139.6858082766412</v>
      </c>
      <c r="D56" s="3">
        <f>RevenueModule!D86</f>
        <v>1500.9276238077562</v>
      </c>
      <c r="E56" s="3">
        <f>RevenueModule!E86</f>
        <v>1887.3515056856475</v>
      </c>
      <c r="F56" s="3">
        <f>RevenueModule!F86</f>
        <v>2310.8496580075307</v>
      </c>
      <c r="G56" s="3">
        <f>RevenueModule!G86</f>
        <v>2784.0479942766997</v>
      </c>
      <c r="H56" s="3">
        <f>RevenueModule!H86</f>
        <v>3798.5227536817997</v>
      </c>
      <c r="I56" s="3">
        <f>RevenueModule!I86</f>
        <v>4354.3332180498946</v>
      </c>
      <c r="J56" s="3">
        <f>RevenueModule!J86</f>
        <v>4955.4213069390944</v>
      </c>
      <c r="K56" s="3">
        <f>RevenueModule!K86</f>
        <v>5609.2250195836777</v>
      </c>
      <c r="L56" s="3">
        <f>RevenueModule!L86</f>
        <v>6323.8991302096165</v>
      </c>
      <c r="M56" s="3">
        <f>RevenueModule!M86</f>
        <v>7108.4223316934449</v>
      </c>
      <c r="N56" s="3">
        <f>RevenueModule!N86</f>
        <v>7972.7160536232268</v>
      </c>
      <c r="O56" s="3">
        <f>RevenueModule!O86</f>
        <v>8927.7766193788211</v>
      </c>
      <c r="P56" s="3">
        <f>RevenueModule!P86</f>
        <v>9985.8226056635267</v>
      </c>
      <c r="Q56" s="3">
        <f>RevenueModule!Q86</f>
        <v>11160.459494586183</v>
      </c>
      <c r="R56" s="3">
        <f>RevenueModule!R86</f>
        <v>12466.863966470966</v>
      </c>
      <c r="S56" s="3">
        <f>RevenueModule!S86</f>
        <v>13921.990475118953</v>
      </c>
      <c r="T56" s="3">
        <f>RevenueModule!T86</f>
        <v>15544.80308088333</v>
      </c>
      <c r="U56" s="3">
        <f>RevenueModule!U86</f>
        <v>17356.535895913523</v>
      </c>
      <c r="V56" s="3">
        <f>RevenueModule!V86</f>
        <v>19380.985926264286</v>
      </c>
      <c r="W56" s="3">
        <f>RevenueModule!W86</f>
        <v>21644.84258407474</v>
      </c>
      <c r="X56" s="3">
        <f>RevenueModule!X86</f>
        <v>24178.058697460041</v>
      </c>
      <c r="Y56" s="3">
        <f>RevenueModule!Y86</f>
        <v>27014.268474955865</v>
      </c>
      <c r="Z56" s="3">
        <f>RevenueModule!Z86</f>
        <v>30191.258595361302</v>
      </c>
      <c r="AA56" s="3">
        <f>RevenueModule!AA86</f>
        <v>33751.499404071219</v>
      </c>
      <c r="AB56" s="3">
        <f>RevenueModule!AB86</f>
        <v>37742.744116485133</v>
      </c>
      <c r="AC56" s="3">
        <f>RevenueModule!AC86</f>
        <v>42218.704972628009</v>
      </c>
      <c r="AD56" s="3">
        <f>RevenueModule!AD86</f>
        <v>47239.816471568651</v>
      </c>
      <c r="AE56" s="3">
        <f>RevenueModule!AE86</f>
        <v>52874.097158746183</v>
      </c>
      <c r="AF56" s="3">
        <f>RevenueModule!AF86</f>
        <v>59198.122965742783</v>
      </c>
      <c r="AG56" s="3">
        <f>RevenueModule!AG86</f>
        <v>66298.126835218063</v>
      </c>
      <c r="AH56" s="3">
        <f>RevenueModule!AH86</f>
        <v>74271.241331938276</v>
      </c>
      <c r="AI56" s="3">
        <f>RevenueModule!AI86</f>
        <v>83226.903176307038</v>
      </c>
      <c r="AJ56" s="3">
        <f>RevenueModule!AJ86</f>
        <v>93288.441176221997</v>
      </c>
      <c r="AK56" s="3">
        <f>RevenueModule!AK86</f>
        <v>104594.87191823294</v>
      </c>
    </row>
    <row r="57" spans="1:37" x14ac:dyDescent="0.25">
      <c r="A57" t="s">
        <v>34</v>
      </c>
      <c r="B57" s="3">
        <f>RevenueModule!B82</f>
        <v>250</v>
      </c>
      <c r="C57" s="3">
        <f>RevenueModule!C82</f>
        <v>252.5</v>
      </c>
      <c r="D57" s="3">
        <f>RevenueModule!D82</f>
        <v>255.02500000000001</v>
      </c>
      <c r="E57" s="3">
        <f>RevenueModule!E82</f>
        <v>257.57524999999998</v>
      </c>
      <c r="F57" s="3">
        <f>RevenueModule!F82</f>
        <v>260.1510025</v>
      </c>
      <c r="G57" s="3">
        <f>RevenueModule!G82</f>
        <v>262.75251252499999</v>
      </c>
      <c r="H57" s="3">
        <f>RevenueModule!H82</f>
        <v>265.38003765024996</v>
      </c>
      <c r="I57" s="3">
        <f>RevenueModule!I82</f>
        <v>268.03383802675245</v>
      </c>
      <c r="J57" s="3">
        <f>RevenueModule!J82</f>
        <v>270.71417640701998</v>
      </c>
      <c r="K57" s="3">
        <f>RevenueModule!K82</f>
        <v>273.42131817109021</v>
      </c>
      <c r="L57" s="3">
        <f>RevenueModule!L82</f>
        <v>276.15553135280112</v>
      </c>
      <c r="M57" s="3">
        <f>RevenueModule!M82</f>
        <v>278.91708666632911</v>
      </c>
      <c r="N57" s="3">
        <f>RevenueModule!N82</f>
        <v>281.70625753299242</v>
      </c>
      <c r="O57" s="3">
        <f>RevenueModule!O82</f>
        <v>284.52332010832237</v>
      </c>
      <c r="P57" s="3">
        <f>RevenueModule!P82</f>
        <v>287.36855330940557</v>
      </c>
      <c r="Q57" s="3">
        <f>RevenueModule!Q82</f>
        <v>290.2422388424996</v>
      </c>
      <c r="R57" s="3">
        <f>RevenueModule!R82</f>
        <v>293.14466123092461</v>
      </c>
      <c r="S57" s="3">
        <f>RevenueModule!S82</f>
        <v>296.07610784323384</v>
      </c>
      <c r="T57" s="3">
        <f>RevenueModule!T82</f>
        <v>299.03686892166616</v>
      </c>
      <c r="U57" s="3">
        <f>RevenueModule!U82</f>
        <v>302.02723761088282</v>
      </c>
      <c r="V57" s="3">
        <f>RevenueModule!V82</f>
        <v>305.04750998699166</v>
      </c>
      <c r="W57" s="3">
        <f>RevenueModule!W82</f>
        <v>308.09798508686157</v>
      </c>
      <c r="X57" s="3">
        <f>RevenueModule!X82</f>
        <v>311.1789649377302</v>
      </c>
      <c r="Y57" s="3">
        <f>RevenueModule!Y82</f>
        <v>314.29075458710753</v>
      </c>
      <c r="Z57" s="3">
        <f>RevenueModule!Z82</f>
        <v>317.43366213297861</v>
      </c>
      <c r="AA57" s="3">
        <f>RevenueModule!AA82</f>
        <v>320.60799875430843</v>
      </c>
      <c r="AB57" s="3">
        <f>RevenueModule!AB82</f>
        <v>323.81407874185152</v>
      </c>
      <c r="AC57" s="3">
        <f>RevenueModule!AC82</f>
        <v>327.05221952927002</v>
      </c>
      <c r="AD57" s="3">
        <f>RevenueModule!AD82</f>
        <v>330.32274172456272</v>
      </c>
      <c r="AE57" s="3">
        <f>RevenueModule!AE82</f>
        <v>333.62596914180835</v>
      </c>
      <c r="AF57" s="3">
        <f>RevenueModule!AF82</f>
        <v>336.96222883322645</v>
      </c>
      <c r="AG57" s="3">
        <f>RevenueModule!AG82</f>
        <v>340.33185112155871</v>
      </c>
      <c r="AH57" s="3">
        <f>RevenueModule!AH82</f>
        <v>343.73516963277433</v>
      </c>
      <c r="AI57" s="3">
        <f>RevenueModule!AI82</f>
        <v>347.1725213291021</v>
      </c>
      <c r="AJ57" s="3">
        <f>RevenueModule!AJ82</f>
        <v>350.64424654239315</v>
      </c>
      <c r="AK57" s="3">
        <f>RevenueModule!AK82</f>
        <v>354.15068900781711</v>
      </c>
    </row>
    <row r="58" spans="1:37" x14ac:dyDescent="0.25">
      <c r="A58" t="s">
        <v>35</v>
      </c>
      <c r="B58" s="3">
        <f>RevenueModule!B45</f>
        <v>2340</v>
      </c>
      <c r="C58" s="3">
        <f>RevenueModule!C45</f>
        <v>2342.3399999999997</v>
      </c>
      <c r="D58" s="3">
        <f>RevenueModule!D45</f>
        <v>2344.6823399999994</v>
      </c>
      <c r="E58" s="3">
        <f>RevenueModule!E45</f>
        <v>2347.0270223399989</v>
      </c>
      <c r="F58" s="3">
        <f>RevenueModule!F45</f>
        <v>2349.3740493623386</v>
      </c>
      <c r="G58" s="3">
        <f>RevenueModule!G45</f>
        <v>2351.7234234117004</v>
      </c>
      <c r="H58" s="3">
        <f>RevenueModule!H45</f>
        <v>2354.0751468351118</v>
      </c>
      <c r="I58" s="3">
        <f>RevenueModule!I45</f>
        <v>2356.4292219819467</v>
      </c>
      <c r="J58" s="3">
        <f>RevenueModule!J45</f>
        <v>2358.7856512039284</v>
      </c>
      <c r="K58" s="3">
        <f>RevenueModule!K45</f>
        <v>2361.1444368551324</v>
      </c>
      <c r="L58" s="3">
        <f>RevenueModule!L45</f>
        <v>2363.5055812919873</v>
      </c>
      <c r="M58" s="3">
        <f>RevenueModule!M45</f>
        <v>2365.8690868732792</v>
      </c>
      <c r="N58" s="3">
        <f>RevenueModule!N45</f>
        <v>2368.2349559601521</v>
      </c>
      <c r="O58" s="3">
        <f>RevenueModule!O45</f>
        <v>2370.603190916112</v>
      </c>
      <c r="P58" s="3">
        <f>RevenueModule!P45</f>
        <v>2372.9737941070275</v>
      </c>
      <c r="Q58" s="3">
        <f>RevenueModule!Q45</f>
        <v>2375.3467679011342</v>
      </c>
      <c r="R58" s="3">
        <f>RevenueModule!R45</f>
        <v>2377.7221146690349</v>
      </c>
      <c r="S58" s="3">
        <f>RevenueModule!S45</f>
        <v>2380.0998367837037</v>
      </c>
      <c r="T58" s="3">
        <f>RevenueModule!T45</f>
        <v>2382.4799366204875</v>
      </c>
      <c r="U58" s="3">
        <f>RevenueModule!U45</f>
        <v>2384.8624165571077</v>
      </c>
      <c r="V58" s="3">
        <f>RevenueModule!V45</f>
        <v>2387.2472789736644</v>
      </c>
      <c r="W58" s="3">
        <f>RevenueModule!W45</f>
        <v>2389.6345262526374</v>
      </c>
      <c r="X58" s="3">
        <f>RevenueModule!X45</f>
        <v>2392.0241607788898</v>
      </c>
      <c r="Y58" s="3">
        <f>RevenueModule!Y45</f>
        <v>2394.4161849396683</v>
      </c>
      <c r="Z58" s="3">
        <f>RevenueModule!Z45</f>
        <v>2396.8106011246077</v>
      </c>
      <c r="AA58" s="3">
        <f>RevenueModule!AA45</f>
        <v>2399.2074117257321</v>
      </c>
      <c r="AB58" s="3">
        <f>RevenueModule!AB45</f>
        <v>2401.6066191374575</v>
      </c>
      <c r="AC58" s="3">
        <f>RevenueModule!AC45</f>
        <v>2404.0082257565946</v>
      </c>
      <c r="AD58" s="3">
        <f>RevenueModule!AD45</f>
        <v>2406.4122339823512</v>
      </c>
      <c r="AE58" s="3">
        <f>RevenueModule!AE45</f>
        <v>2408.818646216333</v>
      </c>
      <c r="AF58" s="3">
        <f>RevenueModule!AF45</f>
        <v>2411.2274648625489</v>
      </c>
      <c r="AG58" s="3">
        <f>RevenueModule!AG45</f>
        <v>2413.6386923274108</v>
      </c>
      <c r="AH58" s="3">
        <f>RevenueModule!AH45</f>
        <v>2416.0523310197382</v>
      </c>
      <c r="AI58" s="3">
        <f>RevenueModule!AI45</f>
        <v>2418.4683833507579</v>
      </c>
      <c r="AJ58" s="3">
        <f>RevenueModule!AJ45</f>
        <v>2420.8868517341084</v>
      </c>
      <c r="AK58" s="3">
        <f>RevenueModule!AK45</f>
        <v>2423.3077385858419</v>
      </c>
    </row>
    <row r="59" spans="1:37" x14ac:dyDescent="0.25">
      <c r="A59" t="s">
        <v>36</v>
      </c>
      <c r="B59" s="3">
        <f t="shared" ref="B59:AK59" si="0">B57+B58</f>
        <v>2590</v>
      </c>
      <c r="C59" s="3">
        <f t="shared" si="0"/>
        <v>2594.8399999999997</v>
      </c>
      <c r="D59" s="3">
        <f t="shared" si="0"/>
        <v>2599.7073399999995</v>
      </c>
      <c r="E59" s="3">
        <f t="shared" si="0"/>
        <v>2604.6022723399988</v>
      </c>
      <c r="F59" s="3">
        <f t="shared" si="0"/>
        <v>2609.5250518623388</v>
      </c>
      <c r="G59" s="3">
        <f t="shared" si="0"/>
        <v>2614.4759359367004</v>
      </c>
      <c r="H59" s="3">
        <f t="shared" si="0"/>
        <v>2619.4551844853618</v>
      </c>
      <c r="I59" s="3">
        <f t="shared" si="0"/>
        <v>2624.4630600086994</v>
      </c>
      <c r="J59" s="3">
        <f t="shared" si="0"/>
        <v>2629.4998276109482</v>
      </c>
      <c r="K59" s="3">
        <f t="shared" si="0"/>
        <v>2634.5657550262226</v>
      </c>
      <c r="L59" s="3">
        <f t="shared" si="0"/>
        <v>2639.6611126447883</v>
      </c>
      <c r="M59" s="3">
        <f t="shared" si="0"/>
        <v>2644.7861735396082</v>
      </c>
      <c r="N59" s="3">
        <f t="shared" si="0"/>
        <v>2649.9412134931445</v>
      </c>
      <c r="O59" s="3">
        <f t="shared" si="0"/>
        <v>2655.1265110244344</v>
      </c>
      <c r="P59" s="3">
        <f t="shared" si="0"/>
        <v>2660.3423474164329</v>
      </c>
      <c r="Q59" s="3">
        <f t="shared" si="0"/>
        <v>2665.5890067436339</v>
      </c>
      <c r="R59" s="3">
        <f t="shared" si="0"/>
        <v>2670.8667758999595</v>
      </c>
      <c r="S59" s="3">
        <f t="shared" si="0"/>
        <v>2676.1759446269375</v>
      </c>
      <c r="T59" s="3">
        <f t="shared" si="0"/>
        <v>2681.5168055421536</v>
      </c>
      <c r="U59" s="3">
        <f t="shared" si="0"/>
        <v>2686.8896541679906</v>
      </c>
      <c r="V59" s="3">
        <f t="shared" si="0"/>
        <v>2692.2947889606562</v>
      </c>
      <c r="W59" s="3">
        <f t="shared" si="0"/>
        <v>2697.7325113394991</v>
      </c>
      <c r="X59" s="3">
        <f t="shared" si="0"/>
        <v>2703.20312571662</v>
      </c>
      <c r="Y59" s="3">
        <f t="shared" si="0"/>
        <v>2708.7069395267758</v>
      </c>
      <c r="Z59" s="3">
        <f t="shared" si="0"/>
        <v>2714.2442632575862</v>
      </c>
      <c r="AA59" s="3">
        <f t="shared" si="0"/>
        <v>2719.8154104800406</v>
      </c>
      <c r="AB59" s="3">
        <f t="shared" si="0"/>
        <v>2725.420697879309</v>
      </c>
      <c r="AC59" s="3">
        <f t="shared" si="0"/>
        <v>2731.0604452858647</v>
      </c>
      <c r="AD59" s="3">
        <f t="shared" si="0"/>
        <v>2736.7349757069137</v>
      </c>
      <c r="AE59" s="3">
        <f t="shared" si="0"/>
        <v>2742.4446153581412</v>
      </c>
      <c r="AF59" s="3">
        <f t="shared" si="0"/>
        <v>2748.1896936957755</v>
      </c>
      <c r="AG59" s="3">
        <f t="shared" si="0"/>
        <v>2753.9705434489697</v>
      </c>
      <c r="AH59" s="3">
        <f t="shared" si="0"/>
        <v>2759.7875006525123</v>
      </c>
      <c r="AI59" s="3">
        <f t="shared" si="0"/>
        <v>2765.6409046798599</v>
      </c>
      <c r="AJ59" s="3">
        <f t="shared" si="0"/>
        <v>2771.5310982765013</v>
      </c>
      <c r="AK59" s="3">
        <f t="shared" si="0"/>
        <v>2777.4584275936591</v>
      </c>
    </row>
    <row r="61" spans="1:37" x14ac:dyDescent="0.25">
      <c r="A61" t="s">
        <v>37</v>
      </c>
      <c r="B61" s="3">
        <f>IF(AND(E23&lt;=B55,E23+(C23*12)&gt;B55),((B23-D23)/C23)/12,0)+IF(AND(E26&lt;=B55,E26+(C26*12)&gt;B55),((B26-D26)/C26)/12,0)</f>
        <v>1077.3809523809523</v>
      </c>
      <c r="C61" s="3">
        <f>IF(AND(E23&lt;=C55,E23+(C23*12)&gt;C55),((B23-D23)/C23)/12,0)+IF(AND(E26&lt;=C55,E26+(C26*12)&gt;C55),((B26-D26)/C26)/12,0)</f>
        <v>1077.3809523809523</v>
      </c>
      <c r="D61" s="3">
        <f>IF(AND(E23&lt;=D55,E23+(C23*12)&gt;D55),((B23-D23)/C23)/12,0)+IF(AND(E26&lt;=D55,E26+(C26*12)&gt;D55),((B26-D26)/C26)/12,0)</f>
        <v>1077.3809523809523</v>
      </c>
      <c r="E61" s="3">
        <f>IF(AND(E23&lt;=E55,E23+(C23*12)&gt;E55),((B23-D23)/C23)/12,0)+IF(AND(E26&lt;=E55,E26+(C26*12)&gt;E55),((B26-D26)/C26)/12,0)</f>
        <v>1077.3809523809523</v>
      </c>
      <c r="F61" s="3">
        <f>IF(AND(E23&lt;=F55,E23+(C23*12)&gt;F55),((B23-D23)/C23)/12,0)+IF(AND(E26&lt;=F55,E26+(C26*12)&gt;F55),((B26-D26)/C26)/12,0)</f>
        <v>1077.3809523809523</v>
      </c>
      <c r="G61" s="3">
        <f>IF(AND(E23&lt;=G55,E23+(C23*12)&gt;G55),((B23-D23)/C23)/12,0)+IF(AND(E26&lt;=G55,E26+(C26*12)&gt;G55),((B26-D26)/C26)/12,0)</f>
        <v>1077.3809523809523</v>
      </c>
      <c r="H61" s="3">
        <f>IF(AND(E23&lt;=H55,E23+(C23*12)&gt;H55),((B23-D23)/C23)/12,0)+IF(AND(E26&lt;=H55,E26+(C26*12)&gt;H55),((B26-D26)/C26)/12,0)</f>
        <v>1077.3809523809523</v>
      </c>
      <c r="I61" s="3">
        <f>IF(AND(E23&lt;=I55,E23+(C23*12)&gt;I55),((B23-D23)/C23)/12,0)+IF(AND(E26&lt;=I55,E26+(C26*12)&gt;I55),((B26-D26)/C26)/12,0)</f>
        <v>1077.3809523809523</v>
      </c>
      <c r="J61" s="3">
        <f>IF(AND(E23&lt;=J55,E23+(C23*12)&gt;J55),((B23-D23)/C23)/12,0)+IF(AND(E26&lt;=J55,E26+(C26*12)&gt;J55),((B26-D26)/C26)/12,0)</f>
        <v>1077.3809523809523</v>
      </c>
      <c r="K61" s="3">
        <f>IF(AND(E23&lt;=K55,E23+(C23*12)&gt;K55),((B23-D23)/C23)/12,0)+IF(AND(E26&lt;=K55,E26+(C26*12)&gt;K55),((B26-D26)/C26)/12,0)</f>
        <v>1077.3809523809523</v>
      </c>
      <c r="L61" s="3">
        <f>IF(AND(E23&lt;=L55,E23+(C23*12)&gt;L55),((B23-D23)/C23)/12,0)+IF(AND(E26&lt;=L55,E26+(C26*12)&gt;L55),((B26-D26)/C26)/12,0)</f>
        <v>1077.3809523809523</v>
      </c>
      <c r="M61" s="3">
        <f>IF(AND(E23&lt;=M55,E23+(C23*12)&gt;M55),((B23-D23)/C23)/12,0)+IF(AND(E26&lt;=M55,E26+(C26*12)&gt;M55),((B26-D26)/C26)/12,0)</f>
        <v>1077.3809523809523</v>
      </c>
      <c r="N61" s="3">
        <f>IF(AND(E23&lt;=N55,E23+(C23*12)&gt;N55),((B23-D23)/C23)/12,0)+IF(AND(E26&lt;=N55,E26+(C26*12)&gt;N55),((B26-D26)/C26)/12,0)</f>
        <v>1077.3809523809523</v>
      </c>
      <c r="O61" s="3">
        <f>IF(AND(E23&lt;=O55,E23+(C23*12)&gt;O55),((B23-D23)/C23)/12,0)+IF(AND(E26&lt;=O55,E26+(C26*12)&gt;O55),((B26-D26)/C26)/12,0)</f>
        <v>1077.3809523809523</v>
      </c>
      <c r="P61" s="3">
        <f>IF(AND(E23&lt;=P55,E23+(C23*12)&gt;P55),((B23-D23)/C23)/12,0)+IF(AND(E26&lt;=P55,E26+(C26*12)&gt;P55),((B26-D26)/C26)/12,0)</f>
        <v>1077.3809523809523</v>
      </c>
      <c r="Q61" s="3">
        <f>IF(AND(E23&lt;=Q55,E23+(C23*12)&gt;Q55),((B23-D23)/C23)/12,0)+IF(AND(E26&lt;=Q55,E26+(C26*12)&gt;Q55),((B26-D26)/C26)/12,0)</f>
        <v>1077.3809523809523</v>
      </c>
      <c r="R61" s="3">
        <f>IF(AND(E23&lt;=R55,E23+(C23*12)&gt;R55),((B23-D23)/C23)/12,0)+IF(AND(E26&lt;=R55,E26+(C26*12)&gt;R55),((B26-D26)/C26)/12,0)</f>
        <v>1077.3809523809523</v>
      </c>
      <c r="S61" s="3">
        <f>IF(AND(E23&lt;=S55,E23+(C23*12)&gt;S55),((B23-D23)/C23)/12,0)+IF(AND(E26&lt;=S55,E26+(C26*12)&gt;S55),((B26-D26)/C26)/12,0)</f>
        <v>1077.3809523809523</v>
      </c>
      <c r="T61" s="3">
        <f>IF(AND(E23&lt;=T55,E23+(C23*12)&gt;T55),((B23-D23)/C23)/12,0)+IF(AND(E26&lt;=T55,E26+(C26*12)&gt;T55),((B26-D26)/C26)/12,0)</f>
        <v>1077.3809523809523</v>
      </c>
      <c r="U61" s="3">
        <f>IF(AND(E23&lt;=U55,E23+(C23*12)&gt;U55),((B23-D23)/C23)/12,0)+IF(AND(E26&lt;=U55,E26+(C26*12)&gt;U55),((B26-D26)/C26)/12,0)</f>
        <v>1077.3809523809523</v>
      </c>
      <c r="V61" s="3">
        <f>IF(AND(E23&lt;=V55,E23+(C23*12)&gt;V55),((B23-D23)/C23)/12,0)+IF(AND(E26&lt;=V55,E26+(C26*12)&gt;V55),((B26-D26)/C26)/12,0)</f>
        <v>1077.3809523809523</v>
      </c>
      <c r="W61" s="3">
        <f>IF(AND(E23&lt;=W55,E23+(C23*12)&gt;W55),((B23-D23)/C23)/12,0)+IF(AND(E26&lt;=W55,E26+(C26*12)&gt;W55),((B26-D26)/C26)/12,0)</f>
        <v>1077.3809523809523</v>
      </c>
      <c r="X61" s="3">
        <f>IF(AND(E23&lt;=X55,E23+(C23*12)&gt;X55),((B23-D23)/C23)/12,0)+IF(AND(E26&lt;=X55,E26+(C26*12)&gt;X55),((B26-D26)/C26)/12,0)</f>
        <v>1077.3809523809523</v>
      </c>
      <c r="Y61" s="3">
        <f>IF(AND(E23&lt;=Y55,E23+(C23*12)&gt;Y55),((B23-D23)/C23)/12,0)+IF(AND(E26&lt;=Y55,E26+(C26*12)&gt;Y55),((B26-D26)/C26)/12,0)</f>
        <v>1077.3809523809523</v>
      </c>
      <c r="Z61" s="3">
        <f>IF(AND(E23&lt;=Z55,E23+(C23*12)&gt;Z55),((B23-D23)/C23)/12,0)+IF(AND(E26&lt;=Z55,E26+(C26*12)&gt;Z55),((B26-D26)/C26)/12,0)</f>
        <v>1077.3809523809523</v>
      </c>
      <c r="AA61" s="3">
        <f>IF(AND(E23&lt;=AA55,E23+(C23*12)&gt;AA55),((B23-D23)/C23)/12,0)+IF(AND(E26&lt;=AA55,E26+(C26*12)&gt;AA55),((B26-D26)/C26)/12,0)</f>
        <v>1077.3809523809523</v>
      </c>
      <c r="AB61" s="3">
        <f>IF(AND(E23&lt;=AB55,E23+(C23*12)&gt;AB55),((B23-D23)/C23)/12,0)+IF(AND(E26&lt;=AB55,E26+(C26*12)&gt;AB55),((B26-D26)/C26)/12,0)</f>
        <v>1077.3809523809523</v>
      </c>
      <c r="AC61" s="3">
        <f>IF(AND(E23&lt;=AC55,E23+(C23*12)&gt;AC55),((B23-D23)/C23)/12,0)+IF(AND(E26&lt;=AC55,E26+(C26*12)&gt;AC55),((B26-D26)/C26)/12,0)</f>
        <v>1077.3809523809523</v>
      </c>
      <c r="AD61" s="3">
        <f>IF(AND(E23&lt;=AD55,E23+(C23*12)&gt;AD55),((B23-D23)/C23)/12,0)+IF(AND(E26&lt;=AD55,E26+(C26*12)&gt;AD55),((B26-D26)/C26)/12,0)</f>
        <v>1077.3809523809523</v>
      </c>
      <c r="AE61" s="3">
        <f>IF(AND(E23&lt;=AE55,E23+(C23*12)&gt;AE55),((B23-D23)/C23)/12,0)+IF(AND(E26&lt;=AE55,E26+(C26*12)&gt;AE55),((B26-D26)/C26)/12,0)</f>
        <v>1077.3809523809523</v>
      </c>
      <c r="AF61" s="3">
        <f>IF(AND(E23&lt;=AF55,E23+(C23*12)&gt;AF55),((B23-D23)/C23)/12,0)+IF(AND(E26&lt;=AF55,E26+(C26*12)&gt;AF55),((B26-D26)/C26)/12,0)</f>
        <v>1077.3809523809523</v>
      </c>
      <c r="AG61" s="3">
        <f>IF(AND(E23&lt;=AG55,E23+(C23*12)&gt;AG55),((B23-D23)/C23)/12,0)+IF(AND(E26&lt;=AG55,E26+(C26*12)&gt;AG55),((B26-D26)/C26)/12,0)</f>
        <v>1077.3809523809523</v>
      </c>
      <c r="AH61" s="3">
        <f>IF(AND(E23&lt;=AH55,E23+(C23*12)&gt;AH55),((B23-D23)/C23)/12,0)+IF(AND(E26&lt;=AH55,E26+(C26*12)&gt;AH55),((B26-D26)/C26)/12,0)</f>
        <v>1077.3809523809523</v>
      </c>
      <c r="AI61" s="3">
        <f>IF(AND(E23&lt;=AI55,E23+(C23*12)&gt;AI55),((B23-D23)/C23)/12,0)+IF(AND(E26&lt;=AI55,E26+(C26*12)&gt;AI55),((B26-D26)/C26)/12,0)</f>
        <v>1077.3809523809523</v>
      </c>
      <c r="AJ61" s="3">
        <f>IF(AND(E23&lt;=AJ55,E23+(C23*12)&gt;AJ55),((B23-D23)/C23)/12,0)+IF(AND(E26&lt;=AJ55,E26+(C26*12)&gt;AJ55),((B26-D26)/C26)/12,0)</f>
        <v>1077.3809523809523</v>
      </c>
      <c r="AK61" s="3">
        <f>IF(AND(E23&lt;=AK55,E23+(C23*12)&gt;AK55),((B23-D23)/C23)/12,0)+IF(AND(E26&lt;=AK55,E26+(C26*12)&gt;AK55),((B26-D26)/C26)/12,0)</f>
        <v>1077.3809523809523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6"/>
  <sheetViews>
    <sheetView workbookViewId="0"/>
  </sheetViews>
  <sheetFormatPr defaultRowHeight="15" x14ac:dyDescent="0.25"/>
  <cols>
    <col min="1" max="1" width="51.5703125" bestFit="1" customWidth="1"/>
    <col min="2" max="16" width="10.5703125" bestFit="1" customWidth="1"/>
    <col min="17" max="36" width="11.5703125" bestFit="1" customWidth="1"/>
    <col min="37" max="37" width="12.5703125" bestFit="1" customWidth="1"/>
  </cols>
  <sheetData>
    <row r="2" spans="1:37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  <c r="U2" t="s">
        <v>150</v>
      </c>
      <c r="V2" t="s">
        <v>151</v>
      </c>
      <c r="W2" t="s">
        <v>152</v>
      </c>
      <c r="X2" t="s">
        <v>153</v>
      </c>
      <c r="Y2" t="s">
        <v>154</v>
      </c>
      <c r="Z2" t="s">
        <v>155</v>
      </c>
      <c r="AA2" t="s">
        <v>156</v>
      </c>
      <c r="AB2" t="s">
        <v>157</v>
      </c>
      <c r="AC2" t="s">
        <v>158</v>
      </c>
      <c r="AD2" t="s">
        <v>159</v>
      </c>
      <c r="AE2" t="s">
        <v>160</v>
      </c>
      <c r="AF2" t="s">
        <v>161</v>
      </c>
      <c r="AG2" t="s">
        <v>162</v>
      </c>
      <c r="AH2" t="s">
        <v>163</v>
      </c>
      <c r="AI2" t="s">
        <v>164</v>
      </c>
      <c r="AJ2" t="s">
        <v>165</v>
      </c>
      <c r="AK2" t="s">
        <v>166</v>
      </c>
    </row>
    <row r="3" spans="1:37" x14ac:dyDescent="0.25">
      <c r="A3" t="s">
        <v>167</v>
      </c>
      <c r="B3" s="20">
        <v>100</v>
      </c>
      <c r="C3" s="21">
        <f>B3*(1+B4)</f>
        <v>110.00000000000001</v>
      </c>
      <c r="D3" s="21">
        <f t="shared" ref="D3:AK3" si="0">C3*(1+C4)</f>
        <v>121.00000000000003</v>
      </c>
      <c r="E3" s="21">
        <f t="shared" si="0"/>
        <v>133.10000000000005</v>
      </c>
      <c r="F3" s="21">
        <f t="shared" si="0"/>
        <v>146.41000000000008</v>
      </c>
      <c r="G3" s="21">
        <f t="shared" si="0"/>
        <v>161.0510000000001</v>
      </c>
      <c r="H3" s="21">
        <f t="shared" si="0"/>
        <v>177.15610000000012</v>
      </c>
      <c r="I3" s="21">
        <f t="shared" si="0"/>
        <v>194.87171000000015</v>
      </c>
      <c r="J3" s="21">
        <f t="shared" si="0"/>
        <v>214.3588810000002</v>
      </c>
      <c r="K3" s="21">
        <f t="shared" si="0"/>
        <v>235.79476910000022</v>
      </c>
      <c r="L3" s="21">
        <f t="shared" si="0"/>
        <v>259.37424601000026</v>
      </c>
      <c r="M3" s="21">
        <f t="shared" si="0"/>
        <v>285.3116706110003</v>
      </c>
      <c r="N3" s="21">
        <f t="shared" si="0"/>
        <v>313.84283767210036</v>
      </c>
      <c r="O3" s="21">
        <f t="shared" si="0"/>
        <v>345.22712143931039</v>
      </c>
      <c r="P3" s="21">
        <f t="shared" si="0"/>
        <v>379.74983358324147</v>
      </c>
      <c r="Q3" s="21">
        <f t="shared" si="0"/>
        <v>417.72481694156562</v>
      </c>
      <c r="R3" s="21">
        <f t="shared" si="0"/>
        <v>459.49729863572225</v>
      </c>
      <c r="S3" s="21">
        <f t="shared" si="0"/>
        <v>505.4470284992945</v>
      </c>
      <c r="T3" s="21">
        <f t="shared" si="0"/>
        <v>555.99173134922398</v>
      </c>
      <c r="U3" s="21">
        <f t="shared" si="0"/>
        <v>611.59090448414645</v>
      </c>
      <c r="V3" s="21">
        <f t="shared" si="0"/>
        <v>672.74999493256109</v>
      </c>
      <c r="W3" s="21">
        <f t="shared" si="0"/>
        <v>740.02499442581723</v>
      </c>
      <c r="X3" s="21">
        <f t="shared" si="0"/>
        <v>814.02749386839901</v>
      </c>
      <c r="Y3" s="21">
        <f t="shared" si="0"/>
        <v>895.43024325523902</v>
      </c>
      <c r="Z3" s="21">
        <f t="shared" si="0"/>
        <v>984.97326758076304</v>
      </c>
      <c r="AA3" s="21">
        <f t="shared" si="0"/>
        <v>1083.4705943388394</v>
      </c>
      <c r="AB3" s="21">
        <f t="shared" si="0"/>
        <v>1191.8176537727234</v>
      </c>
      <c r="AC3" s="21">
        <f t="shared" si="0"/>
        <v>1310.9994191499959</v>
      </c>
      <c r="AD3" s="21">
        <f t="shared" si="0"/>
        <v>1442.0993610649957</v>
      </c>
      <c r="AE3" s="21">
        <f t="shared" si="0"/>
        <v>1586.3092971714955</v>
      </c>
      <c r="AF3" s="21">
        <f t="shared" si="0"/>
        <v>1744.9402268886452</v>
      </c>
      <c r="AG3" s="21">
        <f t="shared" si="0"/>
        <v>1919.4342495775097</v>
      </c>
      <c r="AH3" s="21">
        <f t="shared" si="0"/>
        <v>2111.3776745352607</v>
      </c>
      <c r="AI3" s="21">
        <f t="shared" si="0"/>
        <v>2322.5154419887867</v>
      </c>
      <c r="AJ3" s="21">
        <f t="shared" si="0"/>
        <v>2554.7669861876657</v>
      </c>
      <c r="AK3" s="21">
        <f t="shared" si="0"/>
        <v>2810.2436848064326</v>
      </c>
    </row>
    <row r="4" spans="1:37" x14ac:dyDescent="0.25">
      <c r="A4" t="s">
        <v>168</v>
      </c>
      <c r="B4" s="22">
        <v>0.1</v>
      </c>
      <c r="C4" s="22">
        <v>0.1</v>
      </c>
      <c r="D4" s="22">
        <v>0.1</v>
      </c>
      <c r="E4" s="22">
        <v>0.1</v>
      </c>
      <c r="F4" s="22">
        <v>0.1</v>
      </c>
      <c r="G4" s="22">
        <v>0.1</v>
      </c>
      <c r="H4" s="22">
        <v>0.1</v>
      </c>
      <c r="I4" s="22">
        <v>0.1</v>
      </c>
      <c r="J4" s="22">
        <v>0.1</v>
      </c>
      <c r="K4" s="22">
        <v>0.1</v>
      </c>
      <c r="L4" s="22">
        <v>0.1</v>
      </c>
      <c r="M4" s="22">
        <v>0.1</v>
      </c>
      <c r="N4" s="22">
        <v>0.1</v>
      </c>
      <c r="O4" s="22">
        <v>0.1</v>
      </c>
      <c r="P4" s="22">
        <v>0.1</v>
      </c>
      <c r="Q4" s="22">
        <v>0.1</v>
      </c>
      <c r="R4" s="22">
        <v>0.1</v>
      </c>
      <c r="S4" s="22">
        <v>0.1</v>
      </c>
      <c r="T4" s="22">
        <v>0.1</v>
      </c>
      <c r="U4" s="22">
        <v>0.1</v>
      </c>
      <c r="V4" s="22">
        <v>0.1</v>
      </c>
      <c r="W4" s="22">
        <v>0.1</v>
      </c>
      <c r="X4" s="22">
        <v>0.1</v>
      </c>
      <c r="Y4" s="22">
        <v>0.1</v>
      </c>
      <c r="Z4" s="22">
        <v>0.1</v>
      </c>
      <c r="AA4" s="22">
        <v>0.1</v>
      </c>
      <c r="AB4" s="22">
        <v>0.1</v>
      </c>
      <c r="AC4" s="22">
        <v>0.1</v>
      </c>
      <c r="AD4" s="22">
        <v>0.1</v>
      </c>
      <c r="AE4" s="22">
        <v>0.1</v>
      </c>
      <c r="AF4" s="22">
        <v>0.1</v>
      </c>
      <c r="AG4" s="22">
        <v>0.1</v>
      </c>
      <c r="AH4" s="22">
        <v>0.1</v>
      </c>
      <c r="AI4" s="22">
        <v>0.1</v>
      </c>
      <c r="AJ4" s="22">
        <v>0.1</v>
      </c>
      <c r="AK4" s="22">
        <v>0.1</v>
      </c>
    </row>
    <row r="5" spans="1:37" x14ac:dyDescent="0.25">
      <c r="A5" t="s">
        <v>174</v>
      </c>
      <c r="B5" s="20">
        <v>200</v>
      </c>
      <c r="C5" s="21">
        <f>B5*(1+B6)</f>
        <v>220.00000000000003</v>
      </c>
      <c r="D5" s="21">
        <f t="shared" ref="D5:AK5" si="1">C5*(1+C6)</f>
        <v>242.00000000000006</v>
      </c>
      <c r="E5" s="21">
        <f t="shared" si="1"/>
        <v>266.2000000000001</v>
      </c>
      <c r="F5" s="21">
        <f t="shared" si="1"/>
        <v>292.82000000000016</v>
      </c>
      <c r="G5" s="21">
        <f t="shared" si="1"/>
        <v>322.1020000000002</v>
      </c>
      <c r="H5" s="21">
        <f t="shared" si="1"/>
        <v>354.31220000000025</v>
      </c>
      <c r="I5" s="21">
        <f t="shared" si="1"/>
        <v>389.7434200000003</v>
      </c>
      <c r="J5" s="21">
        <f t="shared" si="1"/>
        <v>428.71776200000039</v>
      </c>
      <c r="K5" s="21">
        <f t="shared" si="1"/>
        <v>471.58953820000045</v>
      </c>
      <c r="L5" s="21">
        <f t="shared" si="1"/>
        <v>518.74849202000053</v>
      </c>
      <c r="M5" s="21">
        <f t="shared" si="1"/>
        <v>570.62334122200059</v>
      </c>
      <c r="N5" s="21">
        <f t="shared" si="1"/>
        <v>627.68567534420072</v>
      </c>
      <c r="O5" s="21">
        <f t="shared" si="1"/>
        <v>690.45424287862079</v>
      </c>
      <c r="P5" s="21">
        <f t="shared" si="1"/>
        <v>759.49966716648294</v>
      </c>
      <c r="Q5" s="21">
        <f t="shared" si="1"/>
        <v>835.44963388313124</v>
      </c>
      <c r="R5" s="21">
        <f t="shared" si="1"/>
        <v>918.99459727144449</v>
      </c>
      <c r="S5" s="21">
        <f t="shared" si="1"/>
        <v>1010.894056998589</v>
      </c>
      <c r="T5" s="21">
        <f t="shared" si="1"/>
        <v>1111.983462698448</v>
      </c>
      <c r="U5" s="21">
        <f t="shared" si="1"/>
        <v>1223.1818089682929</v>
      </c>
      <c r="V5" s="21">
        <f t="shared" si="1"/>
        <v>1345.4999898651222</v>
      </c>
      <c r="W5" s="21">
        <f t="shared" si="1"/>
        <v>1480.0499888516345</v>
      </c>
      <c r="X5" s="21">
        <f t="shared" si="1"/>
        <v>1628.054987736798</v>
      </c>
      <c r="Y5" s="21">
        <f t="shared" si="1"/>
        <v>1790.860486510478</v>
      </c>
      <c r="Z5" s="21">
        <f t="shared" si="1"/>
        <v>1969.9465351615261</v>
      </c>
      <c r="AA5" s="21">
        <f t="shared" si="1"/>
        <v>2166.9411886776788</v>
      </c>
      <c r="AB5" s="21">
        <f t="shared" si="1"/>
        <v>2383.6353075454467</v>
      </c>
      <c r="AC5" s="21">
        <f t="shared" si="1"/>
        <v>2621.9988382999918</v>
      </c>
      <c r="AD5" s="21">
        <f t="shared" si="1"/>
        <v>2884.1987221299914</v>
      </c>
      <c r="AE5" s="21">
        <f t="shared" si="1"/>
        <v>3172.6185943429909</v>
      </c>
      <c r="AF5" s="21">
        <f t="shared" si="1"/>
        <v>3489.8804537772903</v>
      </c>
      <c r="AG5" s="21">
        <f t="shared" si="1"/>
        <v>3838.8684991550194</v>
      </c>
      <c r="AH5" s="21">
        <f t="shared" si="1"/>
        <v>4222.7553490705213</v>
      </c>
      <c r="AI5" s="21">
        <f t="shared" si="1"/>
        <v>4645.0308839775735</v>
      </c>
      <c r="AJ5" s="21">
        <f t="shared" si="1"/>
        <v>5109.5339723753314</v>
      </c>
      <c r="AK5" s="21">
        <f t="shared" si="1"/>
        <v>5620.4873696128652</v>
      </c>
    </row>
    <row r="6" spans="1:37" x14ac:dyDescent="0.25">
      <c r="A6" t="s">
        <v>168</v>
      </c>
      <c r="B6" s="22">
        <v>0.1</v>
      </c>
      <c r="C6" s="22">
        <v>0.1</v>
      </c>
      <c r="D6" s="22">
        <v>0.1</v>
      </c>
      <c r="E6" s="22">
        <v>0.1</v>
      </c>
      <c r="F6" s="22">
        <v>0.1</v>
      </c>
      <c r="G6" s="22">
        <v>0.1</v>
      </c>
      <c r="H6" s="22">
        <v>0.1</v>
      </c>
      <c r="I6" s="22">
        <v>0.1</v>
      </c>
      <c r="J6" s="22">
        <v>0.1</v>
      </c>
      <c r="K6" s="22">
        <v>0.1</v>
      </c>
      <c r="L6" s="22">
        <v>0.1</v>
      </c>
      <c r="M6" s="22">
        <v>0.1</v>
      </c>
      <c r="N6" s="22">
        <v>0.1</v>
      </c>
      <c r="O6" s="22">
        <v>0.1</v>
      </c>
      <c r="P6" s="22">
        <v>0.1</v>
      </c>
      <c r="Q6" s="22">
        <v>0.1</v>
      </c>
      <c r="R6" s="22">
        <v>0.1</v>
      </c>
      <c r="S6" s="22">
        <v>0.1</v>
      </c>
      <c r="T6" s="22">
        <v>0.1</v>
      </c>
      <c r="U6" s="22">
        <v>0.1</v>
      </c>
      <c r="V6" s="22">
        <v>0.1</v>
      </c>
      <c r="W6" s="22">
        <v>0.1</v>
      </c>
      <c r="X6" s="22">
        <v>0.1</v>
      </c>
      <c r="Y6" s="22">
        <v>0.1</v>
      </c>
      <c r="Z6" s="22">
        <v>0.1</v>
      </c>
      <c r="AA6" s="22">
        <v>0.1</v>
      </c>
      <c r="AB6" s="22">
        <v>0.1</v>
      </c>
      <c r="AC6" s="22">
        <v>0.1</v>
      </c>
      <c r="AD6" s="22">
        <v>0.1</v>
      </c>
      <c r="AE6" s="22">
        <v>0.1</v>
      </c>
      <c r="AF6" s="22">
        <v>0.1</v>
      </c>
      <c r="AG6" s="22">
        <v>0.1</v>
      </c>
      <c r="AH6" s="22">
        <v>0.1</v>
      </c>
      <c r="AI6" s="22">
        <v>0.1</v>
      </c>
      <c r="AJ6" s="22">
        <v>0.1</v>
      </c>
      <c r="AK6" s="22">
        <v>0.1</v>
      </c>
    </row>
    <row r="7" spans="1:37" x14ac:dyDescent="0.25">
      <c r="A7" t="s">
        <v>169</v>
      </c>
      <c r="B7" s="23">
        <v>100</v>
      </c>
      <c r="C7" s="24">
        <f>B7*(1+B8)</f>
        <v>110.00000000000001</v>
      </c>
      <c r="D7" s="24">
        <f t="shared" ref="D7:AK7" si="2">C7*(1+C8)</f>
        <v>121.00000000000003</v>
      </c>
      <c r="E7" s="24">
        <f t="shared" si="2"/>
        <v>133.10000000000005</v>
      </c>
      <c r="F7" s="24">
        <f t="shared" si="2"/>
        <v>146.41000000000008</v>
      </c>
      <c r="G7" s="24">
        <f t="shared" si="2"/>
        <v>161.0510000000001</v>
      </c>
      <c r="H7" s="24">
        <f t="shared" si="2"/>
        <v>177.15610000000012</v>
      </c>
      <c r="I7" s="24">
        <f t="shared" si="2"/>
        <v>194.87171000000015</v>
      </c>
      <c r="J7" s="24">
        <f t="shared" si="2"/>
        <v>214.3588810000002</v>
      </c>
      <c r="K7" s="24">
        <f t="shared" si="2"/>
        <v>235.79476910000022</v>
      </c>
      <c r="L7" s="24">
        <f t="shared" si="2"/>
        <v>259.37424601000026</v>
      </c>
      <c r="M7" s="24">
        <f t="shared" si="2"/>
        <v>285.3116706110003</v>
      </c>
      <c r="N7" s="24">
        <f t="shared" si="2"/>
        <v>313.84283767210036</v>
      </c>
      <c r="O7" s="24">
        <f t="shared" si="2"/>
        <v>345.22712143931039</v>
      </c>
      <c r="P7" s="24">
        <f t="shared" si="2"/>
        <v>379.74983358324147</v>
      </c>
      <c r="Q7" s="24">
        <f t="shared" si="2"/>
        <v>417.72481694156562</v>
      </c>
      <c r="R7" s="24">
        <f t="shared" si="2"/>
        <v>459.49729863572225</v>
      </c>
      <c r="S7" s="24">
        <f t="shared" si="2"/>
        <v>505.4470284992945</v>
      </c>
      <c r="T7" s="24">
        <f t="shared" si="2"/>
        <v>555.99173134922398</v>
      </c>
      <c r="U7" s="24">
        <f t="shared" si="2"/>
        <v>611.59090448414645</v>
      </c>
      <c r="V7" s="24">
        <f t="shared" si="2"/>
        <v>672.74999493256109</v>
      </c>
      <c r="W7" s="24">
        <f t="shared" si="2"/>
        <v>740.02499442581723</v>
      </c>
      <c r="X7" s="24">
        <f t="shared" si="2"/>
        <v>814.02749386839901</v>
      </c>
      <c r="Y7" s="24">
        <f t="shared" si="2"/>
        <v>895.43024325523902</v>
      </c>
      <c r="Z7" s="24">
        <f t="shared" si="2"/>
        <v>984.97326758076304</v>
      </c>
      <c r="AA7" s="24">
        <f t="shared" si="2"/>
        <v>1083.4705943388394</v>
      </c>
      <c r="AB7" s="24">
        <f t="shared" si="2"/>
        <v>1191.8176537727234</v>
      </c>
      <c r="AC7" s="24">
        <f t="shared" si="2"/>
        <v>1310.9994191499959</v>
      </c>
      <c r="AD7" s="24">
        <f t="shared" si="2"/>
        <v>1442.0993610649957</v>
      </c>
      <c r="AE7" s="24">
        <f t="shared" si="2"/>
        <v>1586.3092971714955</v>
      </c>
      <c r="AF7" s="24">
        <f t="shared" si="2"/>
        <v>1744.9402268886452</v>
      </c>
      <c r="AG7" s="24">
        <f t="shared" si="2"/>
        <v>1919.4342495775097</v>
      </c>
      <c r="AH7" s="24">
        <f t="shared" si="2"/>
        <v>2111.3776745352607</v>
      </c>
      <c r="AI7" s="24">
        <f t="shared" si="2"/>
        <v>2322.5154419887867</v>
      </c>
      <c r="AJ7" s="24">
        <f t="shared" si="2"/>
        <v>2554.7669861876657</v>
      </c>
      <c r="AK7" s="24">
        <f t="shared" si="2"/>
        <v>2810.2436848064326</v>
      </c>
    </row>
    <row r="8" spans="1:37" x14ac:dyDescent="0.25">
      <c r="A8" t="s">
        <v>168</v>
      </c>
      <c r="B8" s="22">
        <v>0.1</v>
      </c>
      <c r="C8" s="22">
        <v>0.1</v>
      </c>
      <c r="D8" s="22">
        <v>0.1</v>
      </c>
      <c r="E8" s="22">
        <v>0.1</v>
      </c>
      <c r="F8" s="22">
        <v>0.1</v>
      </c>
      <c r="G8" s="22">
        <v>0.1</v>
      </c>
      <c r="H8" s="22">
        <v>0.1</v>
      </c>
      <c r="I8" s="22">
        <v>0.1</v>
      </c>
      <c r="J8" s="22">
        <v>0.1</v>
      </c>
      <c r="K8" s="22">
        <v>0.1</v>
      </c>
      <c r="L8" s="22">
        <v>0.1</v>
      </c>
      <c r="M8" s="22">
        <v>0.1</v>
      </c>
      <c r="N8" s="22">
        <v>0.1</v>
      </c>
      <c r="O8" s="22">
        <v>0.1</v>
      </c>
      <c r="P8" s="22">
        <v>0.1</v>
      </c>
      <c r="Q8" s="22">
        <v>0.1</v>
      </c>
      <c r="R8" s="22">
        <v>0.1</v>
      </c>
      <c r="S8" s="22">
        <v>0.1</v>
      </c>
      <c r="T8" s="22">
        <v>0.1</v>
      </c>
      <c r="U8" s="22">
        <v>0.1</v>
      </c>
      <c r="V8" s="22">
        <v>0.1</v>
      </c>
      <c r="W8" s="22">
        <v>0.1</v>
      </c>
      <c r="X8" s="22">
        <v>0.1</v>
      </c>
      <c r="Y8" s="22">
        <v>0.1</v>
      </c>
      <c r="Z8" s="22">
        <v>0.1</v>
      </c>
      <c r="AA8" s="22">
        <v>0.1</v>
      </c>
      <c r="AB8" s="22">
        <v>0.1</v>
      </c>
      <c r="AC8" s="22">
        <v>0.1</v>
      </c>
      <c r="AD8" s="22">
        <v>0.1</v>
      </c>
      <c r="AE8" s="22">
        <v>0.1</v>
      </c>
      <c r="AF8" s="22">
        <v>0.1</v>
      </c>
      <c r="AG8" s="22">
        <v>0.1</v>
      </c>
      <c r="AH8" s="22">
        <v>0.1</v>
      </c>
      <c r="AI8" s="22">
        <v>0.1</v>
      </c>
      <c r="AJ8" s="22">
        <v>0.1</v>
      </c>
      <c r="AK8" s="22">
        <v>0.1</v>
      </c>
    </row>
    <row r="9" spans="1:37" x14ac:dyDescent="0.25">
      <c r="A9" t="s">
        <v>170</v>
      </c>
      <c r="B9" s="25">
        <v>0.5</v>
      </c>
      <c r="C9" s="24">
        <f>B9*(1+B10)</f>
        <v>0.505</v>
      </c>
      <c r="D9" s="24">
        <f t="shared" ref="D9:AK9" si="3">C9*(1+C10)</f>
        <v>0.51005</v>
      </c>
      <c r="E9" s="24">
        <f t="shared" si="3"/>
        <v>0.51515049999999996</v>
      </c>
      <c r="F9" s="24">
        <f t="shared" si="3"/>
        <v>0.52030200500000001</v>
      </c>
      <c r="G9" s="24">
        <f t="shared" si="3"/>
        <v>0.52550502504999996</v>
      </c>
      <c r="H9" s="24">
        <f t="shared" si="3"/>
        <v>0.53076007530049996</v>
      </c>
      <c r="I9" s="24">
        <f t="shared" si="3"/>
        <v>0.53606767605350492</v>
      </c>
      <c r="J9" s="24">
        <f t="shared" si="3"/>
        <v>0.54142835281404</v>
      </c>
      <c r="K9" s="24">
        <f t="shared" si="3"/>
        <v>0.54684263634218044</v>
      </c>
      <c r="L9" s="24">
        <f t="shared" si="3"/>
        <v>0.55231106270560226</v>
      </c>
      <c r="M9" s="24">
        <f t="shared" si="3"/>
        <v>0.55783417333265828</v>
      </c>
      <c r="N9" s="24">
        <f t="shared" si="3"/>
        <v>0.56341251506598489</v>
      </c>
      <c r="O9" s="24">
        <f t="shared" si="3"/>
        <v>0.56904664021664475</v>
      </c>
      <c r="P9" s="24">
        <f t="shared" si="3"/>
        <v>0.57473710661881117</v>
      </c>
      <c r="Q9" s="24">
        <f t="shared" si="3"/>
        <v>0.58048447768499933</v>
      </c>
      <c r="R9" s="24">
        <f t="shared" si="3"/>
        <v>0.58628932246184928</v>
      </c>
      <c r="S9" s="24">
        <f t="shared" si="3"/>
        <v>0.59215221568646781</v>
      </c>
      <c r="T9" s="24">
        <f t="shared" si="3"/>
        <v>0.59807373784333251</v>
      </c>
      <c r="U9" s="24">
        <f t="shared" si="3"/>
        <v>0.60405447522176581</v>
      </c>
      <c r="V9" s="24">
        <f t="shared" si="3"/>
        <v>0.61009501997398352</v>
      </c>
      <c r="W9" s="24">
        <f t="shared" si="3"/>
        <v>0.61619597017372341</v>
      </c>
      <c r="X9" s="24">
        <f t="shared" si="3"/>
        <v>0.62235792987546068</v>
      </c>
      <c r="Y9" s="24">
        <f t="shared" si="3"/>
        <v>0.62858150917421529</v>
      </c>
      <c r="Z9" s="24">
        <f t="shared" si="3"/>
        <v>0.63486732426595749</v>
      </c>
      <c r="AA9" s="24">
        <f t="shared" si="3"/>
        <v>0.64121599750861702</v>
      </c>
      <c r="AB9" s="24">
        <f t="shared" si="3"/>
        <v>0.64762815748370317</v>
      </c>
      <c r="AC9" s="24">
        <f t="shared" si="3"/>
        <v>0.65410443905854021</v>
      </c>
      <c r="AD9" s="24">
        <f t="shared" si="3"/>
        <v>0.66064548344912566</v>
      </c>
      <c r="AE9" s="24">
        <f t="shared" si="3"/>
        <v>0.66725193828361695</v>
      </c>
      <c r="AF9" s="24">
        <f t="shared" si="3"/>
        <v>0.67392445766645315</v>
      </c>
      <c r="AG9" s="24">
        <f t="shared" si="3"/>
        <v>0.68066370224311767</v>
      </c>
      <c r="AH9" s="24">
        <f t="shared" si="3"/>
        <v>0.6874703392655489</v>
      </c>
      <c r="AI9" s="24">
        <f t="shared" si="3"/>
        <v>0.6943450426582044</v>
      </c>
      <c r="AJ9" s="24">
        <f t="shared" si="3"/>
        <v>0.70128849308478647</v>
      </c>
      <c r="AK9" s="24">
        <f t="shared" si="3"/>
        <v>0.70830137801563431</v>
      </c>
    </row>
    <row r="10" spans="1:37" x14ac:dyDescent="0.25">
      <c r="A10" t="s">
        <v>168</v>
      </c>
      <c r="B10" s="22">
        <v>0.01</v>
      </c>
      <c r="C10" s="22">
        <v>0.01</v>
      </c>
      <c r="D10" s="22">
        <v>0.01</v>
      </c>
      <c r="E10" s="22">
        <v>0.01</v>
      </c>
      <c r="F10" s="22">
        <v>0.01</v>
      </c>
      <c r="G10" s="22">
        <v>0.01</v>
      </c>
      <c r="H10" s="22">
        <v>0.01</v>
      </c>
      <c r="I10" s="22">
        <v>0.01</v>
      </c>
      <c r="J10" s="22">
        <v>0.01</v>
      </c>
      <c r="K10" s="22">
        <v>0.01</v>
      </c>
      <c r="L10" s="22">
        <v>0.01</v>
      </c>
      <c r="M10" s="22">
        <v>0.01</v>
      </c>
      <c r="N10" s="22">
        <v>0.01</v>
      </c>
      <c r="O10" s="22">
        <v>0.01</v>
      </c>
      <c r="P10" s="22">
        <v>0.01</v>
      </c>
      <c r="Q10" s="22">
        <v>0.01</v>
      </c>
      <c r="R10" s="22">
        <v>0.01</v>
      </c>
      <c r="S10" s="22">
        <v>0.01</v>
      </c>
      <c r="T10" s="22">
        <v>0.01</v>
      </c>
      <c r="U10" s="22">
        <v>0.01</v>
      </c>
      <c r="V10" s="22">
        <v>0.01</v>
      </c>
      <c r="W10" s="22">
        <v>0.01</v>
      </c>
      <c r="X10" s="22">
        <v>0.01</v>
      </c>
      <c r="Y10" s="22">
        <v>0.01</v>
      </c>
      <c r="Z10" s="22">
        <v>0.01</v>
      </c>
      <c r="AA10" s="22">
        <v>0.01</v>
      </c>
      <c r="AB10" s="22">
        <v>0.01</v>
      </c>
      <c r="AC10" s="22">
        <v>0.01</v>
      </c>
      <c r="AD10" s="22">
        <v>0.01</v>
      </c>
      <c r="AE10" s="22">
        <v>0.01</v>
      </c>
      <c r="AF10" s="22">
        <v>0.01</v>
      </c>
      <c r="AG10" s="22">
        <v>0.01</v>
      </c>
      <c r="AH10" s="22">
        <v>0.01</v>
      </c>
      <c r="AI10" s="22">
        <v>0.01</v>
      </c>
      <c r="AJ10" s="22">
        <v>0.01</v>
      </c>
      <c r="AK10" s="22">
        <v>0.01</v>
      </c>
    </row>
    <row r="11" spans="1:37" x14ac:dyDescent="0.25">
      <c r="A11" t="s">
        <v>171</v>
      </c>
      <c r="B11" s="21">
        <f>B7/B9</f>
        <v>200</v>
      </c>
      <c r="C11" s="21">
        <f t="shared" ref="C11:AK11" si="4">C7/C9</f>
        <v>217.82178217821786</v>
      </c>
      <c r="D11" s="21">
        <f t="shared" si="4"/>
        <v>237.2316439564749</v>
      </c>
      <c r="E11" s="21">
        <f t="shared" si="4"/>
        <v>258.37109737833907</v>
      </c>
      <c r="F11" s="21">
        <f t="shared" si="4"/>
        <v>281.39426447145843</v>
      </c>
      <c r="G11" s="21">
        <f t="shared" si="4"/>
        <v>306.46900090950919</v>
      </c>
      <c r="H11" s="21">
        <f t="shared" si="4"/>
        <v>333.77811980243581</v>
      </c>
      <c r="I11" s="21">
        <f t="shared" si="4"/>
        <v>363.52072453730636</v>
      </c>
      <c r="J11" s="21">
        <f t="shared" si="4"/>
        <v>395.91366038716541</v>
      </c>
      <c r="K11" s="21">
        <f t="shared" si="4"/>
        <v>431.19309547117018</v>
      </c>
      <c r="L11" s="21">
        <f t="shared" si="4"/>
        <v>469.61624259236362</v>
      </c>
      <c r="M11" s="21">
        <f t="shared" si="4"/>
        <v>511.46323450653466</v>
      </c>
      <c r="N11" s="21">
        <f t="shared" si="4"/>
        <v>557.03916629424566</v>
      </c>
      <c r="O11" s="21">
        <f t="shared" si="4"/>
        <v>606.67631972640618</v>
      </c>
      <c r="P11" s="21">
        <f t="shared" si="4"/>
        <v>660.73658584064049</v>
      </c>
      <c r="Q11" s="21">
        <f t="shared" si="4"/>
        <v>719.61410339079646</v>
      </c>
      <c r="R11" s="21">
        <f t="shared" si="4"/>
        <v>783.73813240581819</v>
      </c>
      <c r="S11" s="21">
        <f t="shared" si="4"/>
        <v>853.57618380831684</v>
      </c>
      <c r="T11" s="21">
        <f t="shared" si="4"/>
        <v>929.63742791004802</v>
      </c>
      <c r="U11" s="21">
        <f t="shared" si="4"/>
        <v>1012.4764066347059</v>
      </c>
      <c r="V11" s="21">
        <f t="shared" si="4"/>
        <v>1102.6970765328479</v>
      </c>
      <c r="W11" s="21">
        <f t="shared" si="4"/>
        <v>1200.957212065478</v>
      </c>
      <c r="X11" s="21">
        <f t="shared" si="4"/>
        <v>1307.9732012594313</v>
      </c>
      <c r="Y11" s="21">
        <f t="shared" si="4"/>
        <v>1424.5252686983908</v>
      </c>
      <c r="Z11" s="21">
        <f t="shared" si="4"/>
        <v>1551.4631639289405</v>
      </c>
      <c r="AA11" s="21">
        <f t="shared" si="4"/>
        <v>1689.7123567542919</v>
      </c>
      <c r="AB11" s="21">
        <f t="shared" si="4"/>
        <v>1840.2807845838822</v>
      </c>
      <c r="AC11" s="21">
        <f t="shared" si="4"/>
        <v>2004.2662010319514</v>
      </c>
      <c r="AD11" s="21">
        <f t="shared" si="4"/>
        <v>2182.8641793417291</v>
      </c>
      <c r="AE11" s="21">
        <f t="shared" si="4"/>
        <v>2377.3768289860418</v>
      </c>
      <c r="AF11" s="21">
        <f t="shared" si="4"/>
        <v>2589.2222889946993</v>
      </c>
      <c r="AG11" s="21">
        <f t="shared" si="4"/>
        <v>2819.94506722195</v>
      </c>
      <c r="AH11" s="21">
        <f t="shared" si="4"/>
        <v>3071.2273009347964</v>
      </c>
      <c r="AI11" s="21">
        <f t="shared" si="4"/>
        <v>3344.9010208200752</v>
      </c>
      <c r="AJ11" s="21">
        <f t="shared" si="4"/>
        <v>3642.9615078238448</v>
      </c>
      <c r="AK11" s="21">
        <f t="shared" si="4"/>
        <v>3967.5818402041882</v>
      </c>
    </row>
    <row r="12" spans="1:37" x14ac:dyDescent="0.25">
      <c r="A12" t="s">
        <v>172</v>
      </c>
      <c r="B12" s="21">
        <f>B3+B5+B11</f>
        <v>500</v>
      </c>
      <c r="C12" s="21">
        <f t="shared" ref="C12:AK12" si="5">C3+C5+C11</f>
        <v>547.82178217821797</v>
      </c>
      <c r="D12" s="21">
        <f t="shared" si="5"/>
        <v>600.23164395647495</v>
      </c>
      <c r="E12" s="21">
        <f t="shared" si="5"/>
        <v>657.67109737833925</v>
      </c>
      <c r="F12" s="21">
        <f t="shared" si="5"/>
        <v>720.62426447145867</v>
      </c>
      <c r="G12" s="21">
        <f t="shared" si="5"/>
        <v>789.62200090950955</v>
      </c>
      <c r="H12" s="21">
        <f t="shared" si="5"/>
        <v>865.24641980243609</v>
      </c>
      <c r="I12" s="21">
        <f t="shared" si="5"/>
        <v>948.13585453730684</v>
      </c>
      <c r="J12" s="21">
        <f t="shared" si="5"/>
        <v>1038.990303387166</v>
      </c>
      <c r="K12" s="21">
        <f t="shared" si="5"/>
        <v>1138.5774027711709</v>
      </c>
      <c r="L12" s="21">
        <f t="shared" si="5"/>
        <v>1247.7389806223646</v>
      </c>
      <c r="M12" s="21">
        <f t="shared" si="5"/>
        <v>1367.3982463395355</v>
      </c>
      <c r="N12" s="21">
        <f t="shared" si="5"/>
        <v>1498.5676793105467</v>
      </c>
      <c r="O12" s="21">
        <f t="shared" si="5"/>
        <v>1642.3576840443375</v>
      </c>
      <c r="P12" s="21">
        <f t="shared" si="5"/>
        <v>1799.9860865903647</v>
      </c>
      <c r="Q12" s="21">
        <f t="shared" si="5"/>
        <v>1972.7885542154931</v>
      </c>
      <c r="R12" s="21">
        <f t="shared" si="5"/>
        <v>2162.2300283129848</v>
      </c>
      <c r="S12" s="21">
        <f t="shared" si="5"/>
        <v>2369.9172693062005</v>
      </c>
      <c r="T12" s="21">
        <f t="shared" si="5"/>
        <v>2597.61262195772</v>
      </c>
      <c r="U12" s="21">
        <f t="shared" si="5"/>
        <v>2847.2491200871455</v>
      </c>
      <c r="V12" s="21">
        <f t="shared" si="5"/>
        <v>3120.9470613305311</v>
      </c>
      <c r="W12" s="21">
        <f t="shared" si="5"/>
        <v>3421.0321953429298</v>
      </c>
      <c r="X12" s="21">
        <f t="shared" si="5"/>
        <v>3750.0556828646286</v>
      </c>
      <c r="Y12" s="21">
        <f t="shared" si="5"/>
        <v>4110.8159984641079</v>
      </c>
      <c r="Z12" s="21">
        <f t="shared" si="5"/>
        <v>4506.38296667123</v>
      </c>
      <c r="AA12" s="21">
        <f t="shared" si="5"/>
        <v>4940.12413977081</v>
      </c>
      <c r="AB12" s="21">
        <f t="shared" si="5"/>
        <v>5415.7337459020528</v>
      </c>
      <c r="AC12" s="21">
        <f t="shared" si="5"/>
        <v>5937.2644584819391</v>
      </c>
      <c r="AD12" s="21">
        <f t="shared" si="5"/>
        <v>6509.1622625367163</v>
      </c>
      <c r="AE12" s="21">
        <f t="shared" si="5"/>
        <v>7136.3047205005278</v>
      </c>
      <c r="AF12" s="21">
        <f t="shared" si="5"/>
        <v>7824.0429696606352</v>
      </c>
      <c r="AG12" s="21">
        <f t="shared" si="5"/>
        <v>8578.2478159544789</v>
      </c>
      <c r="AH12" s="21">
        <f t="shared" si="5"/>
        <v>9405.3603245405793</v>
      </c>
      <c r="AI12" s="21">
        <f t="shared" si="5"/>
        <v>10312.447346786435</v>
      </c>
      <c r="AJ12" s="21">
        <f t="shared" si="5"/>
        <v>11307.262466386841</v>
      </c>
      <c r="AK12" s="21">
        <f t="shared" si="5"/>
        <v>12398.312894623486</v>
      </c>
    </row>
    <row r="13" spans="1:37" x14ac:dyDescent="0.25">
      <c r="A13" s="38" t="s">
        <v>187</v>
      </c>
      <c r="B13" s="18">
        <v>1.4999999999999999E-2</v>
      </c>
      <c r="C13" s="26">
        <f>B13*(1+B14)</f>
        <v>1.515E-2</v>
      </c>
      <c r="D13" s="26">
        <f t="shared" ref="D13:AK13" si="6">C13*(1+C14)</f>
        <v>1.5301500000000001E-2</v>
      </c>
      <c r="E13" s="26">
        <f t="shared" si="6"/>
        <v>1.5454515E-2</v>
      </c>
      <c r="F13" s="26">
        <f t="shared" si="6"/>
        <v>1.5609060150000001E-2</v>
      </c>
      <c r="G13" s="26">
        <f t="shared" si="6"/>
        <v>1.57651507515E-2</v>
      </c>
      <c r="H13" s="26">
        <f t="shared" si="6"/>
        <v>1.5922802259015E-2</v>
      </c>
      <c r="I13" s="26">
        <f t="shared" si="6"/>
        <v>1.608203028160515E-2</v>
      </c>
      <c r="J13" s="26">
        <f t="shared" si="6"/>
        <v>1.6242850584421202E-2</v>
      </c>
      <c r="K13" s="26">
        <f t="shared" si="6"/>
        <v>1.6405279090265415E-2</v>
      </c>
      <c r="L13" s="26">
        <f t="shared" si="6"/>
        <v>1.6569331881168069E-2</v>
      </c>
      <c r="M13" s="26">
        <f t="shared" si="6"/>
        <v>1.6735025199979749E-2</v>
      </c>
      <c r="N13" s="26">
        <f t="shared" si="6"/>
        <v>1.6902375451979545E-2</v>
      </c>
      <c r="O13" s="26">
        <f t="shared" si="6"/>
        <v>1.7071399206499339E-2</v>
      </c>
      <c r="P13" s="26">
        <f t="shared" si="6"/>
        <v>1.7242113198564332E-2</v>
      </c>
      <c r="Q13" s="26">
        <f t="shared" si="6"/>
        <v>1.7414534330549975E-2</v>
      </c>
      <c r="R13" s="26">
        <f t="shared" si="6"/>
        <v>1.7588679673855474E-2</v>
      </c>
      <c r="S13" s="26">
        <f t="shared" si="6"/>
        <v>1.7764566470594028E-2</v>
      </c>
      <c r="T13" s="26">
        <f t="shared" si="6"/>
        <v>1.7942212135299968E-2</v>
      </c>
      <c r="U13" s="26">
        <f t="shared" si="6"/>
        <v>1.8121634256652967E-2</v>
      </c>
      <c r="V13" s="26">
        <f t="shared" si="6"/>
        <v>1.8302850599219496E-2</v>
      </c>
      <c r="W13" s="26">
        <f t="shared" si="6"/>
        <v>1.848587910521169E-2</v>
      </c>
      <c r="X13" s="26">
        <f t="shared" si="6"/>
        <v>1.8670737896263806E-2</v>
      </c>
      <c r="Y13" s="26">
        <f t="shared" si="6"/>
        <v>1.8857445275226443E-2</v>
      </c>
      <c r="Z13" s="26">
        <f t="shared" si="6"/>
        <v>1.9046019727978706E-2</v>
      </c>
      <c r="AA13" s="26">
        <f t="shared" si="6"/>
        <v>1.9236479925258492E-2</v>
      </c>
      <c r="AB13" s="26">
        <f t="shared" si="6"/>
        <v>1.9428844724511077E-2</v>
      </c>
      <c r="AC13" s="26">
        <f t="shared" si="6"/>
        <v>1.9623133171756187E-2</v>
      </c>
      <c r="AD13" s="26">
        <f t="shared" si="6"/>
        <v>1.9819364503473748E-2</v>
      </c>
      <c r="AE13" s="26">
        <f t="shared" si="6"/>
        <v>2.0017558148508485E-2</v>
      </c>
      <c r="AF13" s="26">
        <f t="shared" si="6"/>
        <v>2.0217733729993571E-2</v>
      </c>
      <c r="AG13" s="26">
        <f t="shared" si="6"/>
        <v>2.0419911067293506E-2</v>
      </c>
      <c r="AH13" s="26">
        <f t="shared" si="6"/>
        <v>2.0624110177966441E-2</v>
      </c>
      <c r="AI13" s="26">
        <f t="shared" si="6"/>
        <v>2.0830351279746105E-2</v>
      </c>
      <c r="AJ13" s="26">
        <f t="shared" si="6"/>
        <v>2.1038654792543566E-2</v>
      </c>
      <c r="AK13" s="26">
        <f t="shared" si="6"/>
        <v>2.1249041340469003E-2</v>
      </c>
    </row>
    <row r="14" spans="1:37" x14ac:dyDescent="0.25">
      <c r="A14" t="s">
        <v>168</v>
      </c>
      <c r="B14" s="22">
        <v>0.01</v>
      </c>
      <c r="C14" s="22">
        <v>0.01</v>
      </c>
      <c r="D14" s="22">
        <v>0.01</v>
      </c>
      <c r="E14" s="22">
        <v>0.01</v>
      </c>
      <c r="F14" s="22">
        <v>0.01</v>
      </c>
      <c r="G14" s="22">
        <v>0.01</v>
      </c>
      <c r="H14" s="22">
        <v>0.01</v>
      </c>
      <c r="I14" s="22">
        <v>0.01</v>
      </c>
      <c r="J14" s="22">
        <v>0.01</v>
      </c>
      <c r="K14" s="22">
        <v>0.01</v>
      </c>
      <c r="L14" s="22">
        <v>0.01</v>
      </c>
      <c r="M14" s="22">
        <v>0.01</v>
      </c>
      <c r="N14" s="22">
        <v>0.01</v>
      </c>
      <c r="O14" s="22">
        <v>0.01</v>
      </c>
      <c r="P14" s="22">
        <v>0.01</v>
      </c>
      <c r="Q14" s="22">
        <v>0.01</v>
      </c>
      <c r="R14" s="22">
        <v>0.01</v>
      </c>
      <c r="S14" s="22">
        <v>0.01</v>
      </c>
      <c r="T14" s="22">
        <v>0.01</v>
      </c>
      <c r="U14" s="22">
        <v>0.01</v>
      </c>
      <c r="V14" s="22">
        <v>0.01</v>
      </c>
      <c r="W14" s="22">
        <v>0.01</v>
      </c>
      <c r="X14" s="22">
        <v>0.01</v>
      </c>
      <c r="Y14" s="22">
        <v>0.01</v>
      </c>
      <c r="Z14" s="22">
        <v>0.01</v>
      </c>
      <c r="AA14" s="22">
        <v>0.01</v>
      </c>
      <c r="AB14" s="22">
        <v>0.01</v>
      </c>
      <c r="AC14" s="22">
        <v>0.01</v>
      </c>
      <c r="AD14" s="22">
        <v>0.01</v>
      </c>
      <c r="AE14" s="22">
        <v>0.01</v>
      </c>
      <c r="AF14" s="22">
        <v>0.01</v>
      </c>
      <c r="AG14" s="22">
        <v>0.01</v>
      </c>
      <c r="AH14" s="22">
        <v>0.01</v>
      </c>
      <c r="AI14" s="22">
        <v>0.01</v>
      </c>
      <c r="AJ14" s="22">
        <v>0.01</v>
      </c>
      <c r="AK14" s="22">
        <v>0.01</v>
      </c>
    </row>
    <row r="15" spans="1:37" x14ac:dyDescent="0.25">
      <c r="A15" s="38" t="s">
        <v>188</v>
      </c>
      <c r="B15" s="34">
        <v>30</v>
      </c>
      <c r="C15" s="39">
        <f>B15*(1+B16)</f>
        <v>33</v>
      </c>
      <c r="D15" s="39">
        <f t="shared" ref="D15:AK15" si="7">C15*(1+C16)</f>
        <v>36.300000000000004</v>
      </c>
      <c r="E15" s="39">
        <f t="shared" si="7"/>
        <v>39.930000000000007</v>
      </c>
      <c r="F15" s="39">
        <f t="shared" si="7"/>
        <v>43.923000000000009</v>
      </c>
      <c r="G15" s="39">
        <f t="shared" si="7"/>
        <v>48.315300000000015</v>
      </c>
      <c r="H15" s="39">
        <f t="shared" si="7"/>
        <v>53.146830000000023</v>
      </c>
      <c r="I15" s="39">
        <f t="shared" si="7"/>
        <v>58.461513000000032</v>
      </c>
      <c r="J15" s="39">
        <f t="shared" si="7"/>
        <v>64.307664300000042</v>
      </c>
      <c r="K15" s="39">
        <f t="shared" si="7"/>
        <v>70.738430730000047</v>
      </c>
      <c r="L15" s="39">
        <f t="shared" si="7"/>
        <v>77.812273803000053</v>
      </c>
      <c r="M15" s="39">
        <f t="shared" si="7"/>
        <v>85.593501183300063</v>
      </c>
      <c r="N15" s="39">
        <f t="shared" si="7"/>
        <v>94.152851301630079</v>
      </c>
      <c r="O15" s="39">
        <f t="shared" si="7"/>
        <v>103.56813643179309</v>
      </c>
      <c r="P15" s="39">
        <f t="shared" si="7"/>
        <v>113.92495007497241</v>
      </c>
      <c r="Q15" s="39">
        <f t="shared" si="7"/>
        <v>125.31744508246966</v>
      </c>
      <c r="R15" s="39">
        <f t="shared" si="7"/>
        <v>137.84918959071663</v>
      </c>
      <c r="S15" s="39">
        <f t="shared" si="7"/>
        <v>151.63410854978832</v>
      </c>
      <c r="T15" s="39">
        <f t="shared" si="7"/>
        <v>166.79751940476717</v>
      </c>
      <c r="U15" s="39">
        <f t="shared" si="7"/>
        <v>183.47727134524391</v>
      </c>
      <c r="V15" s="39">
        <f t="shared" si="7"/>
        <v>201.82499847976831</v>
      </c>
      <c r="W15" s="39">
        <f t="shared" si="7"/>
        <v>222.00749832774517</v>
      </c>
      <c r="X15" s="39">
        <f t="shared" si="7"/>
        <v>244.2082481605197</v>
      </c>
      <c r="Y15" s="39">
        <f t="shared" si="7"/>
        <v>268.62907297657171</v>
      </c>
      <c r="Z15" s="39">
        <f t="shared" si="7"/>
        <v>295.49198027422892</v>
      </c>
      <c r="AA15" s="39">
        <f t="shared" si="7"/>
        <v>325.04117830165183</v>
      </c>
      <c r="AB15" s="39">
        <f t="shared" si="7"/>
        <v>357.54529613181705</v>
      </c>
      <c r="AC15" s="39">
        <f t="shared" si="7"/>
        <v>393.29982574499877</v>
      </c>
      <c r="AD15" s="39">
        <f t="shared" si="7"/>
        <v>432.62980831949869</v>
      </c>
      <c r="AE15" s="39">
        <f t="shared" si="7"/>
        <v>475.8927891514486</v>
      </c>
      <c r="AF15" s="39">
        <f t="shared" si="7"/>
        <v>523.48206806659346</v>
      </c>
      <c r="AG15" s="39">
        <f t="shared" si="7"/>
        <v>575.83027487325285</v>
      </c>
      <c r="AH15" s="39">
        <f t="shared" si="7"/>
        <v>633.4133023605782</v>
      </c>
      <c r="AI15" s="39">
        <f t="shared" si="7"/>
        <v>696.75463259663604</v>
      </c>
      <c r="AJ15" s="39">
        <f t="shared" si="7"/>
        <v>766.43009585629966</v>
      </c>
      <c r="AK15" s="39">
        <f t="shared" si="7"/>
        <v>843.07310544192967</v>
      </c>
    </row>
    <row r="16" spans="1:37" x14ac:dyDescent="0.25">
      <c r="A16" t="s">
        <v>168</v>
      </c>
      <c r="B16" s="22">
        <v>0.1</v>
      </c>
      <c r="C16" s="22">
        <v>0.1</v>
      </c>
      <c r="D16" s="22">
        <v>0.1</v>
      </c>
      <c r="E16" s="22">
        <v>0.1</v>
      </c>
      <c r="F16" s="22">
        <v>0.1</v>
      </c>
      <c r="G16" s="22">
        <v>0.1</v>
      </c>
      <c r="H16" s="22">
        <v>0.1</v>
      </c>
      <c r="I16" s="22">
        <v>0.1</v>
      </c>
      <c r="J16" s="22">
        <v>0.1</v>
      </c>
      <c r="K16" s="22">
        <v>0.1</v>
      </c>
      <c r="L16" s="22">
        <v>0.1</v>
      </c>
      <c r="M16" s="22">
        <v>0.1</v>
      </c>
      <c r="N16" s="22">
        <v>0.1</v>
      </c>
      <c r="O16" s="22">
        <v>0.1</v>
      </c>
      <c r="P16" s="22">
        <v>0.1</v>
      </c>
      <c r="Q16" s="22">
        <v>0.1</v>
      </c>
      <c r="R16" s="22">
        <v>0.1</v>
      </c>
      <c r="S16" s="22">
        <v>0.1</v>
      </c>
      <c r="T16" s="22">
        <v>0.1</v>
      </c>
      <c r="U16" s="22">
        <v>0.1</v>
      </c>
      <c r="V16" s="22">
        <v>0.1</v>
      </c>
      <c r="W16" s="22">
        <v>0.1</v>
      </c>
      <c r="X16" s="22">
        <v>0.1</v>
      </c>
      <c r="Y16" s="22">
        <v>0.1</v>
      </c>
      <c r="Z16" s="22">
        <v>0.1</v>
      </c>
      <c r="AA16" s="22">
        <v>0.1</v>
      </c>
      <c r="AB16" s="22">
        <v>0.1</v>
      </c>
      <c r="AC16" s="22">
        <v>0.1</v>
      </c>
      <c r="AD16" s="22">
        <v>0.1</v>
      </c>
      <c r="AE16" s="22">
        <v>0.1</v>
      </c>
      <c r="AF16" s="22">
        <v>0.1</v>
      </c>
      <c r="AG16" s="22">
        <v>0.1</v>
      </c>
      <c r="AH16" s="22">
        <v>0.1</v>
      </c>
      <c r="AI16" s="22">
        <v>0.1</v>
      </c>
      <c r="AJ16" s="22">
        <v>0.1</v>
      </c>
      <c r="AK16" s="22">
        <v>0.1</v>
      </c>
    </row>
    <row r="17" spans="1:37" x14ac:dyDescent="0.25">
      <c r="A17" s="38" t="s">
        <v>189</v>
      </c>
      <c r="B17" s="21">
        <f>B12*B13+B15</f>
        <v>37.5</v>
      </c>
      <c r="C17" s="21">
        <f t="shared" ref="C17:AK17" si="8">C12*C13+C15</f>
        <v>41.299500000000002</v>
      </c>
      <c r="D17" s="21">
        <f t="shared" si="8"/>
        <v>45.484444500000009</v>
      </c>
      <c r="E17" s="21">
        <f t="shared" si="8"/>
        <v>50.093987839500009</v>
      </c>
      <c r="F17" s="21">
        <f t="shared" si="8"/>
        <v>55.171267489684517</v>
      </c>
      <c r="G17" s="21">
        <f t="shared" si="8"/>
        <v>60.763809881039506</v>
      </c>
      <c r="H17" s="21">
        <f t="shared" si="8"/>
        <v>66.923977647834889</v>
      </c>
      <c r="I17" s="21">
        <f t="shared" si="8"/>
        <v>73.709462523744577</v>
      </c>
      <c r="J17" s="21">
        <f t="shared" si="8"/>
        <v>81.183828556580238</v>
      </c>
      <c r="K17" s="21">
        <f t="shared" si="8"/>
        <v>89.417110788330646</v>
      </c>
      <c r="L17" s="21">
        <f t="shared" si="8"/>
        <v>98.486475074002342</v>
      </c>
      <c r="M17" s="21">
        <f t="shared" si="8"/>
        <v>108.47694529420031</v>
      </c>
      <c r="N17" s="21">
        <f t="shared" si="8"/>
        <v>119.48220485753862</v>
      </c>
      <c r="O17" s="21">
        <f t="shared" si="8"/>
        <v>131.60548009597568</v>
      </c>
      <c r="P17" s="21">
        <f t="shared" si="8"/>
        <v>144.9605139358043</v>
      </c>
      <c r="Q17" s="21">
        <f t="shared" si="8"/>
        <v>159.67263908677143</v>
      </c>
      <c r="R17" s="21">
        <f t="shared" si="8"/>
        <v>175.87996093990517</v>
      </c>
      <c r="S17" s="21">
        <f t="shared" si="8"/>
        <v>193.73466141018702</v>
      </c>
      <c r="T17" s="21">
        <f t="shared" si="8"/>
        <v>213.40443611326535</v>
      </c>
      <c r="U17" s="21">
        <f t="shared" si="8"/>
        <v>235.07407853704012</v>
      </c>
      <c r="V17" s="21">
        <f t="shared" si="8"/>
        <v>258.94722627137412</v>
      </c>
      <c r="W17" s="21">
        <f t="shared" si="8"/>
        <v>285.24828590589152</v>
      </c>
      <c r="X17" s="21">
        <f t="shared" si="8"/>
        <v>314.22455491167977</v>
      </c>
      <c r="Y17" s="21">
        <f t="shared" si="8"/>
        <v>346.14856070413396</v>
      </c>
      <c r="Z17" s="21">
        <f t="shared" si="8"/>
        <v>381.32063915927637</v>
      </c>
      <c r="AA17" s="21">
        <f t="shared" si="8"/>
        <v>420.07177714463791</v>
      </c>
      <c r="AB17" s="21">
        <f t="shared" si="8"/>
        <v>462.76674615024274</v>
      </c>
      <c r="AC17" s="21">
        <f t="shared" si="8"/>
        <v>509.80755688972476</v>
      </c>
      <c r="AD17" s="21">
        <f t="shared" si="8"/>
        <v>561.63726781296975</v>
      </c>
      <c r="AE17" s="21">
        <f t="shared" si="8"/>
        <v>618.74418385954345</v>
      </c>
      <c r="AF17" s="21">
        <f t="shared" si="8"/>
        <v>681.66648551922037</v>
      </c>
      <c r="AG17" s="21">
        <f t="shared" si="8"/>
        <v>750.99733238824808</v>
      </c>
      <c r="AH17" s="21">
        <f t="shared" si="8"/>
        <v>827.39048995737733</v>
      </c>
      <c r="AI17" s="21">
        <f t="shared" si="8"/>
        <v>911.56653338408319</v>
      </c>
      <c r="AJ17" s="21">
        <f t="shared" si="8"/>
        <v>1004.3196875352971</v>
      </c>
      <c r="AK17" s="21">
        <f t="shared" si="8"/>
        <v>1106.5253686918541</v>
      </c>
    </row>
    <row r="18" spans="1:37" x14ac:dyDescent="0.25">
      <c r="A18" t="s">
        <v>175</v>
      </c>
      <c r="B18" s="33">
        <v>0.1</v>
      </c>
      <c r="C18" s="28">
        <f>B18*(1+B19)</f>
        <v>0.10100000000000001</v>
      </c>
      <c r="D18" s="28">
        <f t="shared" ref="D18:AK18" si="9">C18*(1+C19)</f>
        <v>0.10201</v>
      </c>
      <c r="E18" s="28">
        <f t="shared" si="9"/>
        <v>0.1030301</v>
      </c>
      <c r="F18" s="28">
        <f t="shared" si="9"/>
        <v>0.104060401</v>
      </c>
      <c r="G18" s="28">
        <f t="shared" si="9"/>
        <v>0.10510100501</v>
      </c>
      <c r="H18" s="28">
        <f t="shared" si="9"/>
        <v>0.1061520150601</v>
      </c>
      <c r="I18" s="28">
        <f t="shared" si="9"/>
        <v>0.107213535210701</v>
      </c>
      <c r="J18" s="28">
        <f t="shared" si="9"/>
        <v>0.10828567056280801</v>
      </c>
      <c r="K18" s="28">
        <f t="shared" si="9"/>
        <v>0.10936852726843609</v>
      </c>
      <c r="L18" s="28">
        <f t="shared" si="9"/>
        <v>0.11046221254112044</v>
      </c>
      <c r="M18" s="28">
        <f t="shared" si="9"/>
        <v>0.11156683466653165</v>
      </c>
      <c r="N18" s="28">
        <f t="shared" si="9"/>
        <v>0.11268250301319697</v>
      </c>
      <c r="O18" s="28">
        <f t="shared" si="9"/>
        <v>0.11380932804332894</v>
      </c>
      <c r="P18" s="28">
        <f t="shared" si="9"/>
        <v>0.11494742132376223</v>
      </c>
      <c r="Q18" s="28">
        <f t="shared" si="9"/>
        <v>0.11609689553699985</v>
      </c>
      <c r="R18" s="28">
        <f t="shared" si="9"/>
        <v>0.11725786449236986</v>
      </c>
      <c r="S18" s="28">
        <f t="shared" si="9"/>
        <v>0.11843044313729356</v>
      </c>
      <c r="T18" s="28">
        <f t="shared" si="9"/>
        <v>0.1196147475686665</v>
      </c>
      <c r="U18" s="28">
        <f t="shared" si="9"/>
        <v>0.12081089504435316</v>
      </c>
      <c r="V18" s="28">
        <f t="shared" si="9"/>
        <v>0.12201900399479669</v>
      </c>
      <c r="W18" s="28">
        <f t="shared" si="9"/>
        <v>0.12323919403474466</v>
      </c>
      <c r="X18" s="28">
        <f t="shared" si="9"/>
        <v>0.12447158597509211</v>
      </c>
      <c r="Y18" s="28">
        <f t="shared" si="9"/>
        <v>0.12571630183484303</v>
      </c>
      <c r="Z18" s="28">
        <f t="shared" si="9"/>
        <v>0.12697346485319147</v>
      </c>
      <c r="AA18" s="28">
        <f t="shared" si="9"/>
        <v>0.12824319950172339</v>
      </c>
      <c r="AB18" s="28">
        <f t="shared" si="9"/>
        <v>0.12952563149674062</v>
      </c>
      <c r="AC18" s="28">
        <f t="shared" si="9"/>
        <v>0.13082088781170803</v>
      </c>
      <c r="AD18" s="28">
        <f t="shared" si="9"/>
        <v>0.13212909668982512</v>
      </c>
      <c r="AE18" s="28">
        <f t="shared" si="9"/>
        <v>0.13345038765672337</v>
      </c>
      <c r="AF18" s="28">
        <f t="shared" si="9"/>
        <v>0.1347848915332906</v>
      </c>
      <c r="AG18" s="28">
        <f t="shared" si="9"/>
        <v>0.1361327404486235</v>
      </c>
      <c r="AH18" s="28">
        <f t="shared" si="9"/>
        <v>0.13749406785310975</v>
      </c>
      <c r="AI18" s="28">
        <f t="shared" si="9"/>
        <v>0.13886900853164086</v>
      </c>
      <c r="AJ18" s="28">
        <f t="shared" si="9"/>
        <v>0.14025769861695728</v>
      </c>
      <c r="AK18" s="28">
        <f t="shared" si="9"/>
        <v>0.14166027560312686</v>
      </c>
    </row>
    <row r="19" spans="1:37" x14ac:dyDescent="0.25">
      <c r="A19" t="s">
        <v>168</v>
      </c>
      <c r="B19" s="22">
        <v>0.01</v>
      </c>
      <c r="C19" s="22">
        <v>0.01</v>
      </c>
      <c r="D19" s="22">
        <v>0.01</v>
      </c>
      <c r="E19" s="22">
        <v>0.01</v>
      </c>
      <c r="F19" s="22">
        <v>0.01</v>
      </c>
      <c r="G19" s="22">
        <v>0.01</v>
      </c>
      <c r="H19" s="22">
        <v>0.01</v>
      </c>
      <c r="I19" s="22">
        <v>0.01</v>
      </c>
      <c r="J19" s="22">
        <v>0.01</v>
      </c>
      <c r="K19" s="22">
        <v>0.01</v>
      </c>
      <c r="L19" s="22">
        <v>0.01</v>
      </c>
      <c r="M19" s="22">
        <v>0.01</v>
      </c>
      <c r="N19" s="22">
        <v>0.01</v>
      </c>
      <c r="O19" s="22">
        <v>0.01</v>
      </c>
      <c r="P19" s="22">
        <v>0.01</v>
      </c>
      <c r="Q19" s="22">
        <v>0.01</v>
      </c>
      <c r="R19" s="22">
        <v>0.01</v>
      </c>
      <c r="S19" s="22">
        <v>0.01</v>
      </c>
      <c r="T19" s="22">
        <v>0.01</v>
      </c>
      <c r="U19" s="22">
        <v>0.01</v>
      </c>
      <c r="V19" s="22">
        <v>0.01</v>
      </c>
      <c r="W19" s="22">
        <v>0.01</v>
      </c>
      <c r="X19" s="22">
        <v>0.01</v>
      </c>
      <c r="Y19" s="22">
        <v>0.01</v>
      </c>
      <c r="Z19" s="22">
        <v>0.01</v>
      </c>
      <c r="AA19" s="22">
        <v>0.01</v>
      </c>
      <c r="AB19" s="22">
        <v>0.01</v>
      </c>
      <c r="AC19" s="22">
        <v>0.01</v>
      </c>
      <c r="AD19" s="22">
        <v>0.01</v>
      </c>
      <c r="AE19" s="22">
        <v>0.01</v>
      </c>
      <c r="AF19" s="22">
        <v>0.01</v>
      </c>
      <c r="AG19" s="22">
        <v>0.01</v>
      </c>
      <c r="AH19" s="22">
        <v>0.01</v>
      </c>
      <c r="AI19" s="22">
        <v>0.01</v>
      </c>
      <c r="AJ19" s="22">
        <v>0.01</v>
      </c>
      <c r="AK19" s="22">
        <v>0.01</v>
      </c>
    </row>
    <row r="20" spans="1:37" x14ac:dyDescent="0.25">
      <c r="A20" t="s">
        <v>177</v>
      </c>
      <c r="B20" s="33">
        <f>85%</f>
        <v>0.85</v>
      </c>
      <c r="C20" s="28">
        <f>B20*(1+B21)</f>
        <v>0.85849999999999993</v>
      </c>
      <c r="D20" s="28">
        <f t="shared" ref="D20:AK20" si="10">C20*(1+C21)</f>
        <v>0.86708499999999988</v>
      </c>
      <c r="E20" s="28">
        <f t="shared" si="10"/>
        <v>0.87575584999999989</v>
      </c>
      <c r="F20" s="28">
        <f t="shared" si="10"/>
        <v>0.88451340849999993</v>
      </c>
      <c r="G20" s="28">
        <f t="shared" si="10"/>
        <v>0.89335854258499992</v>
      </c>
      <c r="H20" s="28">
        <f t="shared" si="10"/>
        <v>0.9022921280108499</v>
      </c>
      <c r="I20" s="28">
        <f t="shared" si="10"/>
        <v>0.9022921280108499</v>
      </c>
      <c r="J20" s="28">
        <f t="shared" si="10"/>
        <v>0.9022921280108499</v>
      </c>
      <c r="K20" s="28">
        <f t="shared" si="10"/>
        <v>0.9022921280108499</v>
      </c>
      <c r="L20" s="28">
        <f t="shared" si="10"/>
        <v>0.9022921280108499</v>
      </c>
      <c r="M20" s="28">
        <f t="shared" si="10"/>
        <v>0.9022921280108499</v>
      </c>
      <c r="N20" s="28">
        <f t="shared" si="10"/>
        <v>0.9022921280108499</v>
      </c>
      <c r="O20" s="28">
        <f t="shared" si="10"/>
        <v>0.9022921280108499</v>
      </c>
      <c r="P20" s="28">
        <f t="shared" si="10"/>
        <v>0.9022921280108499</v>
      </c>
      <c r="Q20" s="28">
        <f t="shared" si="10"/>
        <v>0.9022921280108499</v>
      </c>
      <c r="R20" s="28">
        <f t="shared" si="10"/>
        <v>0.9022921280108499</v>
      </c>
      <c r="S20" s="28">
        <f t="shared" si="10"/>
        <v>0.9022921280108499</v>
      </c>
      <c r="T20" s="28">
        <f t="shared" si="10"/>
        <v>0.9022921280108499</v>
      </c>
      <c r="U20" s="28">
        <f t="shared" si="10"/>
        <v>0.9022921280108499</v>
      </c>
      <c r="V20" s="28">
        <f t="shared" si="10"/>
        <v>0.9022921280108499</v>
      </c>
      <c r="W20" s="28">
        <f t="shared" si="10"/>
        <v>0.9022921280108499</v>
      </c>
      <c r="X20" s="28">
        <f t="shared" si="10"/>
        <v>0.9022921280108499</v>
      </c>
      <c r="Y20" s="28">
        <f t="shared" si="10"/>
        <v>0.9022921280108499</v>
      </c>
      <c r="Z20" s="28">
        <f t="shared" si="10"/>
        <v>0.9022921280108499</v>
      </c>
      <c r="AA20" s="28">
        <f t="shared" si="10"/>
        <v>0.9022921280108499</v>
      </c>
      <c r="AB20" s="28">
        <f t="shared" si="10"/>
        <v>0.9022921280108499</v>
      </c>
      <c r="AC20" s="28">
        <f t="shared" si="10"/>
        <v>0.9022921280108499</v>
      </c>
      <c r="AD20" s="28">
        <f t="shared" si="10"/>
        <v>0.9022921280108499</v>
      </c>
      <c r="AE20" s="28">
        <f t="shared" si="10"/>
        <v>0.9022921280108499</v>
      </c>
      <c r="AF20" s="28">
        <f t="shared" si="10"/>
        <v>0.9022921280108499</v>
      </c>
      <c r="AG20" s="28">
        <f t="shared" si="10"/>
        <v>0.9022921280108499</v>
      </c>
      <c r="AH20" s="28">
        <f t="shared" si="10"/>
        <v>0.9022921280108499</v>
      </c>
      <c r="AI20" s="28">
        <f t="shared" si="10"/>
        <v>0.9022921280108499</v>
      </c>
      <c r="AJ20" s="28">
        <f t="shared" si="10"/>
        <v>0.9022921280108499</v>
      </c>
      <c r="AK20" s="28">
        <f t="shared" si="10"/>
        <v>0.9022921280108499</v>
      </c>
    </row>
    <row r="21" spans="1:37" x14ac:dyDescent="0.25">
      <c r="A21" t="s">
        <v>168</v>
      </c>
      <c r="B21" s="22">
        <v>0.01</v>
      </c>
      <c r="C21" s="22">
        <v>0.01</v>
      </c>
      <c r="D21" s="22">
        <v>0.01</v>
      </c>
      <c r="E21" s="22">
        <v>0.01</v>
      </c>
      <c r="F21" s="22">
        <v>0.01</v>
      </c>
      <c r="G21" s="22">
        <v>0.01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</row>
    <row r="22" spans="1:37" x14ac:dyDescent="0.25">
      <c r="A22" s="36" t="s">
        <v>176</v>
      </c>
      <c r="B22" s="21">
        <f>B17*B18</f>
        <v>3.75</v>
      </c>
      <c r="C22" s="21">
        <f>(B22*B20)+(C17*C18)</f>
        <v>7.3587495000000001</v>
      </c>
      <c r="D22" s="21">
        <f t="shared" ref="D22:AK22" si="11">(C22*C20)+(D17*D18)</f>
        <v>10.957354629195001</v>
      </c>
      <c r="E22" s="21">
        <f t="shared" si="11"/>
        <v>14.662146415158016</v>
      </c>
      <c r="F22" s="21">
        <f t="shared" si="11"/>
        <v>18.581604715285994</v>
      </c>
      <c r="G22" s="21">
        <f t="shared" si="11"/>
        <v>22.822016008851108</v>
      </c>
      <c r="H22" s="21">
        <f t="shared" si="11"/>
        <v>27.492358043673526</v>
      </c>
      <c r="I22" s="21">
        <f t="shared" si="11"/>
        <v>32.708790298913726</v>
      </c>
      <c r="J22" s="21">
        <f t="shared" si="11"/>
        <v>38.303929317572837</v>
      </c>
      <c r="K22" s="21">
        <f t="shared" si="11"/>
        <v>44.340751614648283</v>
      </c>
      <c r="L22" s="21">
        <f t="shared" si="11"/>
        <v>50.887345074031735</v>
      </c>
      <c r="M22" s="21">
        <f t="shared" si="11"/>
        <v>58.017680296438982</v>
      </c>
      <c r="N22" s="21">
        <f t="shared" si="11"/>
        <v>65.812450125810102</v>
      </c>
      <c r="O22" s="21">
        <f t="shared" si="11"/>
        <v>74.359986930167821</v>
      </c>
      <c r="P22" s="21">
        <f t="shared" si="11"/>
        <v>83.757268116768117</v>
      </c>
      <c r="Q22" s="21">
        <f t="shared" si="11"/>
        <v>94.111021385628007</v>
      </c>
      <c r="R22" s="21">
        <f t="shared" si="11"/>
        <v>105.5389423821276</v>
      </c>
      <c r="S22" s="21">
        <f t="shared" si="11"/>
        <v>118.17103871184636</v>
      </c>
      <c r="T22" s="21">
        <f t="shared" si="11"/>
        <v>132.15111574428624</v>
      </c>
      <c r="U22" s="21">
        <f t="shared" si="11"/>
        <v>147.63842127370654</v>
      </c>
      <c r="V22" s="21">
        <f t="shared" si="11"/>
        <v>164.80946794406333</v>
      </c>
      <c r="W22" s="21">
        <f t="shared" si="11"/>
        <v>183.86005440241934</v>
      </c>
      <c r="X22" s="21">
        <f t="shared" si="11"/>
        <v>205.00750844512379</v>
      </c>
      <c r="Y22" s="21">
        <f t="shared" si="11"/>
        <v>228.49317799033042</v>
      </c>
      <c r="Z22" s="21">
        <f t="shared" si="11"/>
        <v>254.58519857894402</v>
      </c>
      <c r="AA22" s="21">
        <f t="shared" si="11"/>
        <v>283.58156930726346</v>
      </c>
      <c r="AB22" s="21">
        <f t="shared" si="11"/>
        <v>315.8135726657091</v>
      </c>
      <c r="AC22" s="21">
        <f t="shared" si="11"/>
        <v>351.64957774068347</v>
      </c>
      <c r="AD22" s="21">
        <f t="shared" si="11"/>
        <v>391.49927067722717</v>
      </c>
      <c r="AE22" s="21">
        <f t="shared" si="11"/>
        <v>435.81836125045004</v>
      </c>
      <c r="AF22" s="21">
        <f t="shared" si="11"/>
        <v>485.11381991145737</v>
      </c>
      <c r="AG22" s="21">
        <f t="shared" si="11"/>
        <v>539.94970582299902</v>
      </c>
      <c r="AH22" s="21">
        <f t="shared" si="11"/>
        <v>600.95365325308353</v>
      </c>
      <c r="AI22" s="21">
        <f t="shared" si="11"/>
        <v>668.8240913312917</v>
      </c>
      <c r="AJ22" s="21">
        <f t="shared" si="11"/>
        <v>744.33828068163655</v>
      </c>
      <c r="AK22" s="21">
        <f t="shared" si="11"/>
        <v>828.36125992691075</v>
      </c>
    </row>
    <row r="23" spans="1:37" x14ac:dyDescent="0.25">
      <c r="A23" s="38" t="s">
        <v>196</v>
      </c>
      <c r="B23" s="34">
        <v>4</v>
      </c>
      <c r="C23" s="21">
        <f>B23*(1+B24)</f>
        <v>4.04</v>
      </c>
      <c r="D23" s="21">
        <f t="shared" ref="D23:AK23" si="12">C23*(1+C24)</f>
        <v>4.0804</v>
      </c>
      <c r="E23" s="21">
        <f t="shared" si="12"/>
        <v>4.1212039999999996</v>
      </c>
      <c r="F23" s="21">
        <f t="shared" si="12"/>
        <v>4.1624160400000001</v>
      </c>
      <c r="G23" s="21">
        <f t="shared" si="12"/>
        <v>4.2040402003999997</v>
      </c>
      <c r="H23" s="21">
        <f t="shared" si="12"/>
        <v>4.2460806024039996</v>
      </c>
      <c r="I23" s="21">
        <f t="shared" si="12"/>
        <v>4.2460806024039996</v>
      </c>
      <c r="J23" s="21">
        <f t="shared" si="12"/>
        <v>4.2460806024039996</v>
      </c>
      <c r="K23" s="21">
        <f t="shared" si="12"/>
        <v>4.2460806024039996</v>
      </c>
      <c r="L23" s="21">
        <f t="shared" si="12"/>
        <v>4.2460806024039996</v>
      </c>
      <c r="M23" s="21">
        <f t="shared" si="12"/>
        <v>4.2460806024039996</v>
      </c>
      <c r="N23" s="21">
        <f t="shared" si="12"/>
        <v>4.2460806024039996</v>
      </c>
      <c r="O23" s="21">
        <f t="shared" si="12"/>
        <v>4.2460806024039996</v>
      </c>
      <c r="P23" s="21">
        <f t="shared" si="12"/>
        <v>4.2460806024039996</v>
      </c>
      <c r="Q23" s="21">
        <f t="shared" si="12"/>
        <v>4.2460806024039996</v>
      </c>
      <c r="R23" s="21">
        <f t="shared" si="12"/>
        <v>4.2460806024039996</v>
      </c>
      <c r="S23" s="21">
        <f t="shared" si="12"/>
        <v>4.2460806024039996</v>
      </c>
      <c r="T23" s="21">
        <f t="shared" si="12"/>
        <v>4.2460806024039996</v>
      </c>
      <c r="U23" s="21">
        <f t="shared" si="12"/>
        <v>4.2460806024039996</v>
      </c>
      <c r="V23" s="21">
        <f t="shared" si="12"/>
        <v>4.2460806024039996</v>
      </c>
      <c r="W23" s="21">
        <f t="shared" si="12"/>
        <v>4.2460806024039996</v>
      </c>
      <c r="X23" s="21">
        <f t="shared" si="12"/>
        <v>4.2460806024039996</v>
      </c>
      <c r="Y23" s="21">
        <f t="shared" si="12"/>
        <v>4.2460806024039996</v>
      </c>
      <c r="Z23" s="21">
        <f t="shared" si="12"/>
        <v>4.2460806024039996</v>
      </c>
      <c r="AA23" s="21">
        <f t="shared" si="12"/>
        <v>4.2460806024039996</v>
      </c>
      <c r="AB23" s="21">
        <f t="shared" si="12"/>
        <v>4.2460806024039996</v>
      </c>
      <c r="AC23" s="21">
        <f t="shared" si="12"/>
        <v>4.2460806024039996</v>
      </c>
      <c r="AD23" s="21">
        <f t="shared" si="12"/>
        <v>4.2460806024039996</v>
      </c>
      <c r="AE23" s="21">
        <f t="shared" si="12"/>
        <v>4.2460806024039996</v>
      </c>
      <c r="AF23" s="21">
        <f t="shared" si="12"/>
        <v>4.2460806024039996</v>
      </c>
      <c r="AG23" s="21">
        <f t="shared" si="12"/>
        <v>4.2460806024039996</v>
      </c>
      <c r="AH23" s="21">
        <f t="shared" si="12"/>
        <v>4.2460806024039996</v>
      </c>
      <c r="AI23" s="21">
        <f t="shared" si="12"/>
        <v>4.2460806024039996</v>
      </c>
      <c r="AJ23" s="21">
        <f t="shared" si="12"/>
        <v>4.2460806024039996</v>
      </c>
      <c r="AK23" s="21">
        <f t="shared" si="12"/>
        <v>4.2460806024039996</v>
      </c>
    </row>
    <row r="24" spans="1:37" x14ac:dyDescent="0.25">
      <c r="A24" t="s">
        <v>168</v>
      </c>
      <c r="B24" s="22">
        <v>0.01</v>
      </c>
      <c r="C24" s="22">
        <v>0.01</v>
      </c>
      <c r="D24" s="22">
        <v>0.01</v>
      </c>
      <c r="E24" s="22">
        <v>0.01</v>
      </c>
      <c r="F24" s="22">
        <v>0.01</v>
      </c>
      <c r="G24" s="22">
        <v>0.01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</row>
    <row r="25" spans="1:37" x14ac:dyDescent="0.25">
      <c r="A25" t="s">
        <v>178</v>
      </c>
      <c r="B25" s="25">
        <v>12</v>
      </c>
      <c r="C25" s="24">
        <f>B25*(B26+1)</f>
        <v>12.120000000000001</v>
      </c>
      <c r="D25" s="24">
        <f t="shared" ref="D25:AK25" si="13">C25*(C26+1)</f>
        <v>12.241200000000001</v>
      </c>
      <c r="E25" s="24">
        <f t="shared" si="13"/>
        <v>12.363612000000002</v>
      </c>
      <c r="F25" s="24">
        <f t="shared" si="13"/>
        <v>12.487248120000002</v>
      </c>
      <c r="G25" s="24">
        <f t="shared" si="13"/>
        <v>12.612120601200003</v>
      </c>
      <c r="H25" s="24">
        <f t="shared" si="13"/>
        <v>12.738241807212002</v>
      </c>
      <c r="I25" s="24">
        <f t="shared" si="13"/>
        <v>12.738241807212002</v>
      </c>
      <c r="J25" s="24">
        <f t="shared" si="13"/>
        <v>12.738241807212002</v>
      </c>
      <c r="K25" s="24">
        <f t="shared" si="13"/>
        <v>12.738241807212002</v>
      </c>
      <c r="L25" s="24">
        <f t="shared" si="13"/>
        <v>12.738241807212002</v>
      </c>
      <c r="M25" s="24">
        <f t="shared" si="13"/>
        <v>12.738241807212002</v>
      </c>
      <c r="N25" s="24">
        <f t="shared" si="13"/>
        <v>12.738241807212002</v>
      </c>
      <c r="O25" s="24">
        <f t="shared" si="13"/>
        <v>12.738241807212002</v>
      </c>
      <c r="P25" s="24">
        <f t="shared" si="13"/>
        <v>12.738241807212002</v>
      </c>
      <c r="Q25" s="24">
        <f t="shared" si="13"/>
        <v>12.738241807212002</v>
      </c>
      <c r="R25" s="24">
        <f t="shared" si="13"/>
        <v>12.738241807212002</v>
      </c>
      <c r="S25" s="24">
        <f t="shared" si="13"/>
        <v>12.738241807212002</v>
      </c>
      <c r="T25" s="24">
        <f t="shared" si="13"/>
        <v>12.738241807212002</v>
      </c>
      <c r="U25" s="24">
        <f t="shared" si="13"/>
        <v>12.738241807212002</v>
      </c>
      <c r="V25" s="24">
        <f t="shared" si="13"/>
        <v>12.738241807212002</v>
      </c>
      <c r="W25" s="24">
        <f t="shared" si="13"/>
        <v>12.738241807212002</v>
      </c>
      <c r="X25" s="24">
        <f t="shared" si="13"/>
        <v>12.738241807212002</v>
      </c>
      <c r="Y25" s="24">
        <f t="shared" si="13"/>
        <v>12.738241807212002</v>
      </c>
      <c r="Z25" s="24">
        <f t="shared" si="13"/>
        <v>12.738241807212002</v>
      </c>
      <c r="AA25" s="24">
        <f t="shared" si="13"/>
        <v>12.738241807212002</v>
      </c>
      <c r="AB25" s="24">
        <f t="shared" si="13"/>
        <v>12.738241807212002</v>
      </c>
      <c r="AC25" s="24">
        <f t="shared" si="13"/>
        <v>12.738241807212002</v>
      </c>
      <c r="AD25" s="24">
        <f t="shared" si="13"/>
        <v>12.738241807212002</v>
      </c>
      <c r="AE25" s="24">
        <f t="shared" si="13"/>
        <v>12.738241807212002</v>
      </c>
      <c r="AF25" s="24">
        <f t="shared" si="13"/>
        <v>12.738241807212002</v>
      </c>
      <c r="AG25" s="24">
        <f t="shared" si="13"/>
        <v>12.738241807212002</v>
      </c>
      <c r="AH25" s="24">
        <f t="shared" si="13"/>
        <v>12.738241807212002</v>
      </c>
      <c r="AI25" s="24">
        <f t="shared" si="13"/>
        <v>12.738241807212002</v>
      </c>
      <c r="AJ25" s="24">
        <f t="shared" si="13"/>
        <v>12.738241807212002</v>
      </c>
      <c r="AK25" s="24">
        <f t="shared" si="13"/>
        <v>12.738241807212002</v>
      </c>
    </row>
    <row r="26" spans="1:37" x14ac:dyDescent="0.25">
      <c r="A26" t="s">
        <v>168</v>
      </c>
      <c r="B26" s="22">
        <v>0.01</v>
      </c>
      <c r="C26" s="22">
        <v>0.01</v>
      </c>
      <c r="D26" s="22">
        <v>0.01</v>
      </c>
      <c r="E26" s="22">
        <v>0.01</v>
      </c>
      <c r="F26" s="22">
        <v>0.01</v>
      </c>
      <c r="G26" s="22">
        <v>0.01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</row>
    <row r="27" spans="1:37" x14ac:dyDescent="0.25">
      <c r="A27" t="s">
        <v>179</v>
      </c>
      <c r="B27" s="31">
        <v>0.25</v>
      </c>
      <c r="C27" s="27">
        <f>B27*(1+B28)</f>
        <v>0.2525</v>
      </c>
      <c r="D27" s="27">
        <f t="shared" ref="D27:AK27" si="14">C27*(1+C28)</f>
        <v>0.255025</v>
      </c>
      <c r="E27" s="27">
        <f t="shared" si="14"/>
        <v>0.25757524999999998</v>
      </c>
      <c r="F27" s="27">
        <f t="shared" si="14"/>
        <v>0.26015100250000001</v>
      </c>
      <c r="G27" s="27">
        <f t="shared" si="14"/>
        <v>0.26275251252499998</v>
      </c>
      <c r="H27" s="27">
        <f t="shared" si="14"/>
        <v>0.26538003765024998</v>
      </c>
      <c r="I27" s="27">
        <f t="shared" si="14"/>
        <v>0.26538003765024998</v>
      </c>
      <c r="J27" s="27">
        <f t="shared" si="14"/>
        <v>0.26538003765024998</v>
      </c>
      <c r="K27" s="27">
        <f t="shared" si="14"/>
        <v>0.26538003765024998</v>
      </c>
      <c r="L27" s="27">
        <f t="shared" si="14"/>
        <v>0.26538003765024998</v>
      </c>
      <c r="M27" s="27">
        <f t="shared" si="14"/>
        <v>0.26538003765024998</v>
      </c>
      <c r="N27" s="27">
        <f t="shared" si="14"/>
        <v>0.26538003765024998</v>
      </c>
      <c r="O27" s="27">
        <f t="shared" si="14"/>
        <v>0.26538003765024998</v>
      </c>
      <c r="P27" s="27">
        <f t="shared" si="14"/>
        <v>0.26538003765024998</v>
      </c>
      <c r="Q27" s="27">
        <f t="shared" si="14"/>
        <v>0.26538003765024998</v>
      </c>
      <c r="R27" s="27">
        <f t="shared" si="14"/>
        <v>0.26538003765024998</v>
      </c>
      <c r="S27" s="27">
        <f t="shared" si="14"/>
        <v>0.26538003765024998</v>
      </c>
      <c r="T27" s="27">
        <f t="shared" si="14"/>
        <v>0.26538003765024998</v>
      </c>
      <c r="U27" s="27">
        <f t="shared" si="14"/>
        <v>0.26538003765024998</v>
      </c>
      <c r="V27" s="27">
        <f t="shared" si="14"/>
        <v>0.26538003765024998</v>
      </c>
      <c r="W27" s="27">
        <f t="shared" si="14"/>
        <v>0.26538003765024998</v>
      </c>
      <c r="X27" s="27">
        <f t="shared" si="14"/>
        <v>0.26538003765024998</v>
      </c>
      <c r="Y27" s="27">
        <f t="shared" si="14"/>
        <v>0.26538003765024998</v>
      </c>
      <c r="Z27" s="27">
        <f t="shared" si="14"/>
        <v>0.26538003765024998</v>
      </c>
      <c r="AA27" s="27">
        <f t="shared" si="14"/>
        <v>0.26538003765024998</v>
      </c>
      <c r="AB27" s="27">
        <f t="shared" si="14"/>
        <v>0.26538003765024998</v>
      </c>
      <c r="AC27" s="27">
        <f t="shared" si="14"/>
        <v>0.26538003765024998</v>
      </c>
      <c r="AD27" s="27">
        <f t="shared" si="14"/>
        <v>0.26538003765024998</v>
      </c>
      <c r="AE27" s="27">
        <f t="shared" si="14"/>
        <v>0.26538003765024998</v>
      </c>
      <c r="AF27" s="27">
        <f t="shared" si="14"/>
        <v>0.26538003765024998</v>
      </c>
      <c r="AG27" s="27">
        <f t="shared" si="14"/>
        <v>0.26538003765024998</v>
      </c>
      <c r="AH27" s="27">
        <f t="shared" si="14"/>
        <v>0.26538003765024998</v>
      </c>
      <c r="AI27" s="27">
        <f t="shared" si="14"/>
        <v>0.26538003765024998</v>
      </c>
      <c r="AJ27" s="27">
        <f t="shared" si="14"/>
        <v>0.26538003765024998</v>
      </c>
      <c r="AK27" s="27">
        <f t="shared" si="14"/>
        <v>0.26538003765024998</v>
      </c>
    </row>
    <row r="28" spans="1:37" x14ac:dyDescent="0.25">
      <c r="A28" t="s">
        <v>168</v>
      </c>
      <c r="B28" s="22">
        <v>0.01</v>
      </c>
      <c r="C28" s="22">
        <v>0.01</v>
      </c>
      <c r="D28" s="22">
        <v>0.01</v>
      </c>
      <c r="E28" s="22">
        <v>0.01</v>
      </c>
      <c r="F28" s="22">
        <v>0.01</v>
      </c>
      <c r="G28" s="22">
        <v>0.01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</row>
    <row r="29" spans="1:37" x14ac:dyDescent="0.25">
      <c r="A29" t="s">
        <v>180</v>
      </c>
      <c r="B29" s="23">
        <v>50</v>
      </c>
      <c r="C29" s="41">
        <f>B29*(1+B30)</f>
        <v>50.5</v>
      </c>
      <c r="D29" s="41">
        <f t="shared" ref="D29:AK29" si="15">C29*(1+C30)</f>
        <v>51.005000000000003</v>
      </c>
      <c r="E29" s="41">
        <f t="shared" si="15"/>
        <v>51.515050000000002</v>
      </c>
      <c r="F29" s="41">
        <f t="shared" si="15"/>
        <v>52.030200499999999</v>
      </c>
      <c r="G29" s="41">
        <f t="shared" si="15"/>
        <v>52.550502504999997</v>
      </c>
      <c r="H29" s="41">
        <f t="shared" si="15"/>
        <v>53.076007530049999</v>
      </c>
      <c r="I29" s="41">
        <f t="shared" si="15"/>
        <v>53.076007530049999</v>
      </c>
      <c r="J29" s="41">
        <f t="shared" si="15"/>
        <v>53.076007530049999</v>
      </c>
      <c r="K29" s="41">
        <f t="shared" si="15"/>
        <v>53.076007530049999</v>
      </c>
      <c r="L29" s="41">
        <f t="shared" si="15"/>
        <v>53.076007530049999</v>
      </c>
      <c r="M29" s="41">
        <f t="shared" si="15"/>
        <v>53.076007530049999</v>
      </c>
      <c r="N29" s="41">
        <f t="shared" si="15"/>
        <v>53.076007530049999</v>
      </c>
      <c r="O29" s="41">
        <f t="shared" si="15"/>
        <v>53.076007530049999</v>
      </c>
      <c r="P29" s="41">
        <f t="shared" si="15"/>
        <v>53.076007530049999</v>
      </c>
      <c r="Q29" s="41">
        <f t="shared" si="15"/>
        <v>53.076007530049999</v>
      </c>
      <c r="R29" s="41">
        <f t="shared" si="15"/>
        <v>53.076007530049999</v>
      </c>
      <c r="S29" s="41">
        <f t="shared" si="15"/>
        <v>53.076007530049999</v>
      </c>
      <c r="T29" s="41">
        <f t="shared" si="15"/>
        <v>53.076007530049999</v>
      </c>
      <c r="U29" s="41">
        <f t="shared" si="15"/>
        <v>53.076007530049999</v>
      </c>
      <c r="V29" s="41">
        <f t="shared" si="15"/>
        <v>53.076007530049999</v>
      </c>
      <c r="W29" s="41">
        <f t="shared" si="15"/>
        <v>53.076007530049999</v>
      </c>
      <c r="X29" s="41">
        <f t="shared" si="15"/>
        <v>53.076007530049999</v>
      </c>
      <c r="Y29" s="41">
        <f t="shared" si="15"/>
        <v>53.076007530049999</v>
      </c>
      <c r="Z29" s="41">
        <f t="shared" si="15"/>
        <v>53.076007530049999</v>
      </c>
      <c r="AA29" s="41">
        <f t="shared" si="15"/>
        <v>53.076007530049999</v>
      </c>
      <c r="AB29" s="41">
        <f t="shared" si="15"/>
        <v>53.076007530049999</v>
      </c>
      <c r="AC29" s="41">
        <f t="shared" si="15"/>
        <v>53.076007530049999</v>
      </c>
      <c r="AD29" s="41">
        <f t="shared" si="15"/>
        <v>53.076007530049999</v>
      </c>
      <c r="AE29" s="41">
        <f t="shared" si="15"/>
        <v>53.076007530049999</v>
      </c>
      <c r="AF29" s="41">
        <f t="shared" si="15"/>
        <v>53.076007530049999</v>
      </c>
      <c r="AG29" s="41">
        <f t="shared" si="15"/>
        <v>53.076007530049999</v>
      </c>
      <c r="AH29" s="41">
        <f t="shared" si="15"/>
        <v>53.076007530049999</v>
      </c>
      <c r="AI29" s="41">
        <f t="shared" si="15"/>
        <v>53.076007530049999</v>
      </c>
      <c r="AJ29" s="41">
        <f t="shared" si="15"/>
        <v>53.076007530049999</v>
      </c>
      <c r="AK29" s="41">
        <f t="shared" si="15"/>
        <v>53.076007530049999</v>
      </c>
    </row>
    <row r="30" spans="1:37" x14ac:dyDescent="0.25">
      <c r="A30" t="s">
        <v>168</v>
      </c>
      <c r="B30" s="22">
        <v>0.01</v>
      </c>
      <c r="C30" s="22">
        <v>0.01</v>
      </c>
      <c r="D30" s="22">
        <v>0.01</v>
      </c>
      <c r="E30" s="22">
        <v>0.01</v>
      </c>
      <c r="F30" s="22">
        <v>0.01</v>
      </c>
      <c r="G30" s="22">
        <v>0.01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</row>
    <row r="31" spans="1:37" x14ac:dyDescent="0.25">
      <c r="A31" t="s">
        <v>181</v>
      </c>
      <c r="B31" s="31">
        <v>0.1</v>
      </c>
      <c r="C31" s="27">
        <f>B31*(1+B32)</f>
        <v>0.10100000000000001</v>
      </c>
      <c r="D31" s="27">
        <f t="shared" ref="D31:AK31" si="16">C31*(1+C32)</f>
        <v>0.10201</v>
      </c>
      <c r="E31" s="27">
        <f t="shared" si="16"/>
        <v>0.1030301</v>
      </c>
      <c r="F31" s="27">
        <f t="shared" si="16"/>
        <v>0.104060401</v>
      </c>
      <c r="G31" s="27">
        <f t="shared" si="16"/>
        <v>0.10510100501</v>
      </c>
      <c r="H31" s="27">
        <f t="shared" si="16"/>
        <v>0.1061520150601</v>
      </c>
      <c r="I31" s="27">
        <f t="shared" si="16"/>
        <v>0.1061520150601</v>
      </c>
      <c r="J31" s="27">
        <f t="shared" si="16"/>
        <v>0.1061520150601</v>
      </c>
      <c r="K31" s="27">
        <f t="shared" si="16"/>
        <v>0.1061520150601</v>
      </c>
      <c r="L31" s="27">
        <f t="shared" si="16"/>
        <v>0.1061520150601</v>
      </c>
      <c r="M31" s="27">
        <f t="shared" si="16"/>
        <v>0.1061520150601</v>
      </c>
      <c r="N31" s="27">
        <f t="shared" si="16"/>
        <v>0.1061520150601</v>
      </c>
      <c r="O31" s="27">
        <f t="shared" si="16"/>
        <v>0.1061520150601</v>
      </c>
      <c r="P31" s="27">
        <f t="shared" si="16"/>
        <v>0.1061520150601</v>
      </c>
      <c r="Q31" s="27">
        <f t="shared" si="16"/>
        <v>0.1061520150601</v>
      </c>
      <c r="R31" s="27">
        <f t="shared" si="16"/>
        <v>0.1061520150601</v>
      </c>
      <c r="S31" s="27">
        <f t="shared" si="16"/>
        <v>0.1061520150601</v>
      </c>
      <c r="T31" s="27">
        <f t="shared" si="16"/>
        <v>0.1061520150601</v>
      </c>
      <c r="U31" s="27">
        <f t="shared" si="16"/>
        <v>0.1061520150601</v>
      </c>
      <c r="V31" s="27">
        <f t="shared" si="16"/>
        <v>0.1061520150601</v>
      </c>
      <c r="W31" s="27">
        <f t="shared" si="16"/>
        <v>0.1061520150601</v>
      </c>
      <c r="X31" s="27">
        <f t="shared" si="16"/>
        <v>0.1061520150601</v>
      </c>
      <c r="Y31" s="27">
        <f t="shared" si="16"/>
        <v>0.1061520150601</v>
      </c>
      <c r="Z31" s="27">
        <f t="shared" si="16"/>
        <v>0.1061520150601</v>
      </c>
      <c r="AA31" s="27">
        <f t="shared" si="16"/>
        <v>0.1061520150601</v>
      </c>
      <c r="AB31" s="27">
        <f t="shared" si="16"/>
        <v>0.1061520150601</v>
      </c>
      <c r="AC31" s="27">
        <f t="shared" si="16"/>
        <v>0.1061520150601</v>
      </c>
      <c r="AD31" s="27">
        <f t="shared" si="16"/>
        <v>0.1061520150601</v>
      </c>
      <c r="AE31" s="27">
        <f t="shared" si="16"/>
        <v>0.1061520150601</v>
      </c>
      <c r="AF31" s="27">
        <f t="shared" si="16"/>
        <v>0.1061520150601</v>
      </c>
      <c r="AG31" s="27">
        <f t="shared" si="16"/>
        <v>0.1061520150601</v>
      </c>
      <c r="AH31" s="27">
        <f t="shared" si="16"/>
        <v>0.1061520150601</v>
      </c>
      <c r="AI31" s="27">
        <f t="shared" si="16"/>
        <v>0.1061520150601</v>
      </c>
      <c r="AJ31" s="27">
        <f t="shared" si="16"/>
        <v>0.1061520150601</v>
      </c>
      <c r="AK31" s="27">
        <f t="shared" si="16"/>
        <v>0.1061520150601</v>
      </c>
    </row>
    <row r="32" spans="1:37" x14ac:dyDescent="0.25">
      <c r="A32" t="s">
        <v>168</v>
      </c>
      <c r="B32" s="22">
        <v>0.01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</row>
    <row r="33" spans="1:37" x14ac:dyDescent="0.25">
      <c r="A33" t="s">
        <v>182</v>
      </c>
      <c r="B33" s="25">
        <v>75</v>
      </c>
      <c r="C33" s="24">
        <f>B33*(1+B34)</f>
        <v>75.75</v>
      </c>
      <c r="D33" s="24">
        <f t="shared" ref="D33:AK33" si="17">C33*(1+C34)</f>
        <v>76.507500000000007</v>
      </c>
      <c r="E33" s="24">
        <f t="shared" si="17"/>
        <v>77.272575000000003</v>
      </c>
      <c r="F33" s="24">
        <f t="shared" si="17"/>
        <v>78.04530075000001</v>
      </c>
      <c r="G33" s="24">
        <f t="shared" si="17"/>
        <v>78.82575375750001</v>
      </c>
      <c r="H33" s="24">
        <f t="shared" si="17"/>
        <v>79.614011295075017</v>
      </c>
      <c r="I33" s="24">
        <f t="shared" si="17"/>
        <v>79.614011295075017</v>
      </c>
      <c r="J33" s="24">
        <f t="shared" si="17"/>
        <v>79.614011295075017</v>
      </c>
      <c r="K33" s="24">
        <f t="shared" si="17"/>
        <v>79.614011295075017</v>
      </c>
      <c r="L33" s="24">
        <f t="shared" si="17"/>
        <v>79.614011295075017</v>
      </c>
      <c r="M33" s="24">
        <f t="shared" si="17"/>
        <v>79.614011295075017</v>
      </c>
      <c r="N33" s="24">
        <f t="shared" si="17"/>
        <v>79.614011295075017</v>
      </c>
      <c r="O33" s="24">
        <f t="shared" si="17"/>
        <v>79.614011295075017</v>
      </c>
      <c r="P33" s="24">
        <f t="shared" si="17"/>
        <v>79.614011295075017</v>
      </c>
      <c r="Q33" s="24">
        <f t="shared" si="17"/>
        <v>79.614011295075017</v>
      </c>
      <c r="R33" s="24">
        <f t="shared" si="17"/>
        <v>79.614011295075017</v>
      </c>
      <c r="S33" s="24">
        <f t="shared" si="17"/>
        <v>79.614011295075017</v>
      </c>
      <c r="T33" s="24">
        <f t="shared" si="17"/>
        <v>79.614011295075017</v>
      </c>
      <c r="U33" s="24">
        <f t="shared" si="17"/>
        <v>79.614011295075017</v>
      </c>
      <c r="V33" s="24">
        <f t="shared" si="17"/>
        <v>79.614011295075017</v>
      </c>
      <c r="W33" s="24">
        <f t="shared" si="17"/>
        <v>79.614011295075017</v>
      </c>
      <c r="X33" s="24">
        <f t="shared" si="17"/>
        <v>79.614011295075017</v>
      </c>
      <c r="Y33" s="24">
        <f t="shared" si="17"/>
        <v>79.614011295075017</v>
      </c>
      <c r="Z33" s="24">
        <f t="shared" si="17"/>
        <v>79.614011295075017</v>
      </c>
      <c r="AA33" s="24">
        <f t="shared" si="17"/>
        <v>79.614011295075017</v>
      </c>
      <c r="AB33" s="24">
        <f t="shared" si="17"/>
        <v>79.614011295075017</v>
      </c>
      <c r="AC33" s="24">
        <f t="shared" si="17"/>
        <v>79.614011295075017</v>
      </c>
      <c r="AD33" s="24">
        <f t="shared" si="17"/>
        <v>79.614011295075017</v>
      </c>
      <c r="AE33" s="24">
        <f t="shared" si="17"/>
        <v>79.614011295075017</v>
      </c>
      <c r="AF33" s="24">
        <f t="shared" si="17"/>
        <v>79.614011295075017</v>
      </c>
      <c r="AG33" s="24">
        <f t="shared" si="17"/>
        <v>79.614011295075017</v>
      </c>
      <c r="AH33" s="24">
        <f t="shared" si="17"/>
        <v>79.614011295075017</v>
      </c>
      <c r="AI33" s="24">
        <f t="shared" si="17"/>
        <v>79.614011295075017</v>
      </c>
      <c r="AJ33" s="24">
        <f t="shared" si="17"/>
        <v>79.614011295075017</v>
      </c>
      <c r="AK33" s="24">
        <f t="shared" si="17"/>
        <v>79.614011295075017</v>
      </c>
    </row>
    <row r="34" spans="1:37" x14ac:dyDescent="0.25">
      <c r="A34" t="s">
        <v>168</v>
      </c>
      <c r="B34" s="22">
        <v>0.01</v>
      </c>
      <c r="C34" s="22">
        <v>0.01</v>
      </c>
      <c r="D34" s="22">
        <v>0.01</v>
      </c>
      <c r="E34" s="22">
        <v>0.01</v>
      </c>
      <c r="F34" s="22">
        <v>0.01</v>
      </c>
      <c r="G34" s="22">
        <v>0.01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</row>
    <row r="35" spans="1:37" s="35" customFormat="1" x14ac:dyDescent="0.25">
      <c r="A35" s="37" t="s">
        <v>183</v>
      </c>
      <c r="B35" s="22">
        <v>7.0000000000000007E-2</v>
      </c>
      <c r="C35" s="30">
        <f>B35*(1+B36)</f>
        <v>7.0700000000000013E-2</v>
      </c>
      <c r="D35" s="30">
        <f t="shared" ref="D35:AK35" si="18">C35*(1+C36)</f>
        <v>7.1407000000000012E-2</v>
      </c>
      <c r="E35" s="30">
        <f t="shared" si="18"/>
        <v>7.2121070000000009E-2</v>
      </c>
      <c r="F35" s="30">
        <f t="shared" si="18"/>
        <v>7.2842280700000012E-2</v>
      </c>
      <c r="G35" s="30">
        <f t="shared" si="18"/>
        <v>7.3570703507000013E-2</v>
      </c>
      <c r="H35" s="30">
        <f t="shared" si="18"/>
        <v>7.4306410542070017E-2</v>
      </c>
      <c r="I35" s="30">
        <f t="shared" si="18"/>
        <v>7.4306410542070017E-2</v>
      </c>
      <c r="J35" s="30">
        <f t="shared" si="18"/>
        <v>7.4306410542070017E-2</v>
      </c>
      <c r="K35" s="30">
        <f t="shared" si="18"/>
        <v>7.4306410542070017E-2</v>
      </c>
      <c r="L35" s="30">
        <f t="shared" si="18"/>
        <v>7.4306410542070017E-2</v>
      </c>
      <c r="M35" s="30">
        <f t="shared" si="18"/>
        <v>7.4306410542070017E-2</v>
      </c>
      <c r="N35" s="30">
        <f t="shared" si="18"/>
        <v>7.4306410542070017E-2</v>
      </c>
      <c r="O35" s="30">
        <f t="shared" si="18"/>
        <v>7.4306410542070017E-2</v>
      </c>
      <c r="P35" s="30">
        <f t="shared" si="18"/>
        <v>7.4306410542070017E-2</v>
      </c>
      <c r="Q35" s="30">
        <f t="shared" si="18"/>
        <v>7.4306410542070017E-2</v>
      </c>
      <c r="R35" s="30">
        <f t="shared" si="18"/>
        <v>7.4306410542070017E-2</v>
      </c>
      <c r="S35" s="30">
        <f t="shared" si="18"/>
        <v>7.4306410542070017E-2</v>
      </c>
      <c r="T35" s="30">
        <f t="shared" si="18"/>
        <v>7.4306410542070017E-2</v>
      </c>
      <c r="U35" s="30">
        <f t="shared" si="18"/>
        <v>7.4306410542070017E-2</v>
      </c>
      <c r="V35" s="30">
        <f t="shared" si="18"/>
        <v>7.4306410542070017E-2</v>
      </c>
      <c r="W35" s="30">
        <f t="shared" si="18"/>
        <v>7.4306410542070017E-2</v>
      </c>
      <c r="X35" s="30">
        <f t="shared" si="18"/>
        <v>7.4306410542070017E-2</v>
      </c>
      <c r="Y35" s="30">
        <f t="shared" si="18"/>
        <v>7.4306410542070017E-2</v>
      </c>
      <c r="Z35" s="30">
        <f t="shared" si="18"/>
        <v>7.4306410542070017E-2</v>
      </c>
      <c r="AA35" s="30">
        <f t="shared" si="18"/>
        <v>7.4306410542070017E-2</v>
      </c>
      <c r="AB35" s="30">
        <f t="shared" si="18"/>
        <v>7.4306410542070017E-2</v>
      </c>
      <c r="AC35" s="30">
        <f t="shared" si="18"/>
        <v>7.4306410542070017E-2</v>
      </c>
      <c r="AD35" s="30">
        <f t="shared" si="18"/>
        <v>7.4306410542070017E-2</v>
      </c>
      <c r="AE35" s="30">
        <f t="shared" si="18"/>
        <v>7.4306410542070017E-2</v>
      </c>
      <c r="AF35" s="30">
        <f t="shared" si="18"/>
        <v>7.4306410542070017E-2</v>
      </c>
      <c r="AG35" s="30">
        <f t="shared" si="18"/>
        <v>7.4306410542070017E-2</v>
      </c>
      <c r="AH35" s="30">
        <f t="shared" si="18"/>
        <v>7.4306410542070017E-2</v>
      </c>
      <c r="AI35" s="30">
        <f t="shared" si="18"/>
        <v>7.4306410542070017E-2</v>
      </c>
      <c r="AJ35" s="30">
        <f t="shared" si="18"/>
        <v>7.4306410542070017E-2</v>
      </c>
      <c r="AK35" s="30">
        <f t="shared" si="18"/>
        <v>7.4306410542070017E-2</v>
      </c>
    </row>
    <row r="36" spans="1:37" x14ac:dyDescent="0.25">
      <c r="A36" t="s">
        <v>168</v>
      </c>
      <c r="B36" s="22">
        <v>0.01</v>
      </c>
      <c r="C36" s="22">
        <v>0.01</v>
      </c>
      <c r="D36" s="22">
        <v>0.01</v>
      </c>
      <c r="E36" s="22">
        <v>0.01</v>
      </c>
      <c r="F36" s="22">
        <v>0.01</v>
      </c>
      <c r="G36" s="22">
        <v>0.01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</row>
    <row r="37" spans="1:37" s="35" customFormat="1" x14ac:dyDescent="0.25">
      <c r="A37" s="37" t="s">
        <v>184</v>
      </c>
      <c r="B37" s="32">
        <f>B22*B35</f>
        <v>0.26250000000000001</v>
      </c>
      <c r="C37" s="32">
        <f t="shared" ref="C37:AK37" si="19">C22*C35</f>
        <v>0.52026358965000008</v>
      </c>
      <c r="D37" s="32">
        <f t="shared" si="19"/>
        <v>0.78243182200692751</v>
      </c>
      <c r="E37" s="32">
        <f t="shared" si="19"/>
        <v>1.0574496879578605</v>
      </c>
      <c r="F37" s="32">
        <f t="shared" si="19"/>
        <v>1.3535264665273061</v>
      </c>
      <c r="G37" s="32">
        <f t="shared" si="19"/>
        <v>1.6790317732191926</v>
      </c>
      <c r="H37" s="32">
        <f t="shared" si="19"/>
        <v>2.0428584435627859</v>
      </c>
      <c r="I37" s="32">
        <f t="shared" si="19"/>
        <v>2.4304728002855605</v>
      </c>
      <c r="J37" s="32">
        <f t="shared" si="19"/>
        <v>2.8462274972459989</v>
      </c>
      <c r="K37" s="32">
        <f t="shared" si="19"/>
        <v>3.2948020932220095</v>
      </c>
      <c r="L37" s="32">
        <f t="shared" si="19"/>
        <v>3.7812559544669866</v>
      </c>
      <c r="M37" s="32">
        <f t="shared" si="19"/>
        <v>4.3110855708057612</v>
      </c>
      <c r="N37" s="32">
        <f t="shared" si="19"/>
        <v>4.8902869378279528</v>
      </c>
      <c r="O37" s="32">
        <f t="shared" si="19"/>
        <v>5.525423716736011</v>
      </c>
      <c r="P37" s="32">
        <f t="shared" si="19"/>
        <v>6.2237019505668032</v>
      </c>
      <c r="Q37" s="32">
        <f t="shared" si="19"/>
        <v>6.993052191614006</v>
      </c>
      <c r="R37" s="32">
        <f t="shared" si="19"/>
        <v>7.8422199808222466</v>
      </c>
      <c r="S37" s="32">
        <f t="shared" si="19"/>
        <v>8.7808657167053052</v>
      </c>
      <c r="T37" s="32">
        <f t="shared" si="19"/>
        <v>9.8196750600875458</v>
      </c>
      <c r="U37" s="32">
        <f t="shared" si="19"/>
        <v>10.970481142947122</v>
      </c>
      <c r="V37" s="32">
        <f t="shared" si="19"/>
        <v>12.246399986271697</v>
      </c>
      <c r="W37" s="32">
        <f t="shared" si="19"/>
        <v>13.6619806847135</v>
      </c>
      <c r="X37" s="32">
        <f t="shared" si="19"/>
        <v>15.233372086730254</v>
      </c>
      <c r="Y37" s="32">
        <f t="shared" si="19"/>
        <v>16.97850788981177</v>
      </c>
      <c r="Z37" s="32">
        <f t="shared" si="19"/>
        <v>18.917312283541435</v>
      </c>
      <c r="AA37" s="32">
        <f t="shared" si="19"/>
        <v>21.071928511110002</v>
      </c>
      <c r="AB37" s="32">
        <f t="shared" si="19"/>
        <v>23.466972985256042</v>
      </c>
      <c r="AC37" s="32">
        <f t="shared" si="19"/>
        <v>26.129817890544793</v>
      </c>
      <c r="AD37" s="32">
        <f t="shared" si="19"/>
        <v>29.090905533863037</v>
      </c>
      <c r="AE37" s="32">
        <f t="shared" si="19"/>
        <v>32.384098072848118</v>
      </c>
      <c r="AF37" s="32">
        <f t="shared" si="19"/>
        <v>36.047066661972572</v>
      </c>
      <c r="AG37" s="32">
        <f t="shared" si="19"/>
        <v>40.121724512953698</v>
      </c>
      <c r="AH37" s="32">
        <f t="shared" si="19"/>
        <v>44.654708875380415</v>
      </c>
      <c r="AI37" s="32">
        <f t="shared" si="19"/>
        <v>49.697917510889894</v>
      </c>
      <c r="AJ37" s="32">
        <f t="shared" si="19"/>
        <v>55.309105866508226</v>
      </c>
      <c r="AK37" s="32">
        <f t="shared" si="19"/>
        <v>61.552551857275404</v>
      </c>
    </row>
    <row r="38" spans="1:37" s="35" customFormat="1" x14ac:dyDescent="0.25">
      <c r="A38" s="37" t="s">
        <v>185</v>
      </c>
      <c r="B38" s="25">
        <v>99</v>
      </c>
      <c r="C38" s="42">
        <f>B38*(1+B39)</f>
        <v>99.99</v>
      </c>
      <c r="D38" s="42">
        <f t="shared" ref="D38:AK38" si="20">C38*(1+C39)</f>
        <v>100.98989999999999</v>
      </c>
      <c r="E38" s="42">
        <f t="shared" si="20"/>
        <v>101.999799</v>
      </c>
      <c r="F38" s="42">
        <f t="shared" si="20"/>
        <v>103.01979699</v>
      </c>
      <c r="G38" s="42">
        <f t="shared" si="20"/>
        <v>104.0499949599</v>
      </c>
      <c r="H38" s="42">
        <f t="shared" si="20"/>
        <v>105.090494909499</v>
      </c>
      <c r="I38" s="42">
        <f t="shared" si="20"/>
        <v>105.090494909499</v>
      </c>
      <c r="J38" s="42">
        <f t="shared" si="20"/>
        <v>105.090494909499</v>
      </c>
      <c r="K38" s="42">
        <f t="shared" si="20"/>
        <v>105.090494909499</v>
      </c>
      <c r="L38" s="42">
        <f t="shared" si="20"/>
        <v>105.090494909499</v>
      </c>
      <c r="M38" s="42">
        <f t="shared" si="20"/>
        <v>105.090494909499</v>
      </c>
      <c r="N38" s="42">
        <f t="shared" si="20"/>
        <v>105.090494909499</v>
      </c>
      <c r="O38" s="42">
        <f t="shared" si="20"/>
        <v>105.090494909499</v>
      </c>
      <c r="P38" s="42">
        <f t="shared" si="20"/>
        <v>105.090494909499</v>
      </c>
      <c r="Q38" s="42">
        <f t="shared" si="20"/>
        <v>105.090494909499</v>
      </c>
      <c r="R38" s="42">
        <f t="shared" si="20"/>
        <v>105.090494909499</v>
      </c>
      <c r="S38" s="42">
        <f t="shared" si="20"/>
        <v>105.090494909499</v>
      </c>
      <c r="T38" s="42">
        <f t="shared" si="20"/>
        <v>105.090494909499</v>
      </c>
      <c r="U38" s="42">
        <f t="shared" si="20"/>
        <v>105.090494909499</v>
      </c>
      <c r="V38" s="42">
        <f t="shared" si="20"/>
        <v>105.090494909499</v>
      </c>
      <c r="W38" s="42">
        <f t="shared" si="20"/>
        <v>105.090494909499</v>
      </c>
      <c r="X38" s="42">
        <f t="shared" si="20"/>
        <v>105.090494909499</v>
      </c>
      <c r="Y38" s="42">
        <f t="shared" si="20"/>
        <v>105.090494909499</v>
      </c>
      <c r="Z38" s="42">
        <f t="shared" si="20"/>
        <v>105.090494909499</v>
      </c>
      <c r="AA38" s="42">
        <f t="shared" si="20"/>
        <v>105.090494909499</v>
      </c>
      <c r="AB38" s="42">
        <f t="shared" si="20"/>
        <v>105.090494909499</v>
      </c>
      <c r="AC38" s="42">
        <f t="shared" si="20"/>
        <v>105.090494909499</v>
      </c>
      <c r="AD38" s="42">
        <f t="shared" si="20"/>
        <v>105.090494909499</v>
      </c>
      <c r="AE38" s="42">
        <f t="shared" si="20"/>
        <v>105.090494909499</v>
      </c>
      <c r="AF38" s="42">
        <f t="shared" si="20"/>
        <v>105.090494909499</v>
      </c>
      <c r="AG38" s="42">
        <f t="shared" si="20"/>
        <v>105.090494909499</v>
      </c>
      <c r="AH38" s="42">
        <f t="shared" si="20"/>
        <v>105.090494909499</v>
      </c>
      <c r="AI38" s="42">
        <f t="shared" si="20"/>
        <v>105.090494909499</v>
      </c>
      <c r="AJ38" s="42">
        <f t="shared" si="20"/>
        <v>105.090494909499</v>
      </c>
      <c r="AK38" s="42">
        <f t="shared" si="20"/>
        <v>105.090494909499</v>
      </c>
    </row>
    <row r="39" spans="1:37" x14ac:dyDescent="0.25">
      <c r="A39" t="s">
        <v>168</v>
      </c>
      <c r="B39" s="22">
        <v>0.01</v>
      </c>
      <c r="C39" s="22">
        <v>0.01</v>
      </c>
      <c r="D39" s="22">
        <v>0.01</v>
      </c>
      <c r="E39" s="22">
        <v>0.01</v>
      </c>
      <c r="F39" s="22">
        <v>0.01</v>
      </c>
      <c r="G39" s="22">
        <v>0.01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</row>
    <row r="40" spans="1:37" s="35" customFormat="1" x14ac:dyDescent="0.25">
      <c r="A40" s="37" t="s">
        <v>186</v>
      </c>
      <c r="B40" s="42">
        <f>(B22*B23*B25)+(B22*B27*B29)+(B22*B31*B33)+(B37*B38)</f>
        <v>280.98750000000001</v>
      </c>
      <c r="C40" s="42">
        <f t="shared" ref="C40:AK40" si="21">(C22*C23*C25)+(C22*C27*C29)+(C22*C31*C33)+(C37*C38)</f>
        <v>562.47406114570356</v>
      </c>
      <c r="D40" s="42">
        <f t="shared" si="21"/>
        <v>854.3718787582992</v>
      </c>
      <c r="E40" s="42">
        <f t="shared" si="21"/>
        <v>1166.2227988354809</v>
      </c>
      <c r="F40" s="42">
        <f t="shared" si="21"/>
        <v>1507.682659977125</v>
      </c>
      <c r="G40" s="42">
        <f t="shared" si="21"/>
        <v>1888.9631079718331</v>
      </c>
      <c r="H40" s="42">
        <f t="shared" si="21"/>
        <v>2321.2622531694324</v>
      </c>
      <c r="I40" s="42">
        <f t="shared" si="21"/>
        <v>2761.7012752085402</v>
      </c>
      <c r="J40" s="42">
        <f t="shared" si="21"/>
        <v>3234.1156452169926</v>
      </c>
      <c r="K40" s="42">
        <f t="shared" si="21"/>
        <v>3743.8226592545707</v>
      </c>
      <c r="L40" s="42">
        <f t="shared" si="21"/>
        <v>4296.5711815883851</v>
      </c>
      <c r="M40" s="42">
        <f t="shared" si="21"/>
        <v>4898.606771912263</v>
      </c>
      <c r="N40" s="42">
        <f t="shared" si="21"/>
        <v>5556.7425690788796</v>
      </c>
      <c r="O40" s="42">
        <f t="shared" si="21"/>
        <v>6278.4367398740187</v>
      </c>
      <c r="P40" s="42">
        <f t="shared" si="21"/>
        <v>7071.8773776767921</v>
      </c>
      <c r="Q40" s="42">
        <f t="shared" si="21"/>
        <v>7946.0758223302037</v>
      </c>
      <c r="R40" s="42">
        <f t="shared" si="21"/>
        <v>8910.9694702026991</v>
      </c>
      <c r="S40" s="42">
        <f t="shared" si="21"/>
        <v>9977.5352533921814</v>
      </c>
      <c r="T40" s="42">
        <f t="shared" si="21"/>
        <v>11157.915090591021</v>
      </c>
      <c r="U40" s="42">
        <f t="shared" si="21"/>
        <v>12465.554750733536</v>
      </c>
      <c r="V40" s="42">
        <f t="shared" si="21"/>
        <v>13915.357725799982</v>
      </c>
      <c r="W40" s="42">
        <f t="shared" si="21"/>
        <v>15523.855882861437</v>
      </c>
      <c r="X40" s="42">
        <f t="shared" si="21"/>
        <v>17309.398859640085</v>
      </c>
      <c r="Y40" s="42">
        <f t="shared" si="21"/>
        <v>19292.364384790599</v>
      </c>
      <c r="Z40" s="42">
        <f t="shared" si="21"/>
        <v>21495.391946306219</v>
      </c>
      <c r="AA40" s="42">
        <f t="shared" si="21"/>
        <v>23943.642501738064</v>
      </c>
      <c r="AB40" s="42">
        <f t="shared" si="21"/>
        <v>26665.087225436746</v>
      </c>
      <c r="AC40" s="42">
        <f t="shared" si="21"/>
        <v>29690.828624293161</v>
      </c>
      <c r="AD40" s="42">
        <f t="shared" si="21"/>
        <v>33055.457728389876</v>
      </c>
      <c r="AE40" s="42">
        <f t="shared" si="21"/>
        <v>36797.451480944437</v>
      </c>
      <c r="AF40" s="42">
        <f t="shared" si="21"/>
        <v>40959.614917805477</v>
      </c>
      <c r="AG40" s="42">
        <f t="shared" si="21"/>
        <v>45589.573245983818</v>
      </c>
      <c r="AH40" s="42">
        <f t="shared" si="21"/>
        <v>50740.319509321314</v>
      </c>
      <c r="AI40" s="42">
        <f t="shared" si="21"/>
        <v>56470.824174172041</v>
      </c>
      <c r="AJ40" s="42">
        <f t="shared" si="21"/>
        <v>62846.71368642075</v>
      </c>
      <c r="AK40" s="42">
        <f t="shared" si="21"/>
        <v>69941.025851679922</v>
      </c>
    </row>
    <row r="41" spans="1:37" s="35" customFormat="1" x14ac:dyDescent="0.25">
      <c r="A41" s="3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s="35" customFormat="1" x14ac:dyDescent="0.25">
      <c r="A42" s="37" t="s">
        <v>203</v>
      </c>
      <c r="B42" s="44">
        <f>26*4.5</f>
        <v>117</v>
      </c>
      <c r="C42" s="44">
        <f t="shared" ref="C42:AK42" si="22">26*4.5</f>
        <v>117</v>
      </c>
      <c r="D42" s="44">
        <f t="shared" si="22"/>
        <v>117</v>
      </c>
      <c r="E42" s="44">
        <f t="shared" si="22"/>
        <v>117</v>
      </c>
      <c r="F42" s="44">
        <f t="shared" si="22"/>
        <v>117</v>
      </c>
      <c r="G42" s="44">
        <f t="shared" si="22"/>
        <v>117</v>
      </c>
      <c r="H42" s="44">
        <f t="shared" si="22"/>
        <v>117</v>
      </c>
      <c r="I42" s="44">
        <f t="shared" si="22"/>
        <v>117</v>
      </c>
      <c r="J42" s="44">
        <f t="shared" si="22"/>
        <v>117</v>
      </c>
      <c r="K42" s="44">
        <f t="shared" si="22"/>
        <v>117</v>
      </c>
      <c r="L42" s="44">
        <f t="shared" si="22"/>
        <v>117</v>
      </c>
      <c r="M42" s="44">
        <f t="shared" si="22"/>
        <v>117</v>
      </c>
      <c r="N42" s="44">
        <f t="shared" si="22"/>
        <v>117</v>
      </c>
      <c r="O42" s="44">
        <f t="shared" si="22"/>
        <v>117</v>
      </c>
      <c r="P42" s="44">
        <f t="shared" si="22"/>
        <v>117</v>
      </c>
      <c r="Q42" s="44">
        <f t="shared" si="22"/>
        <v>117</v>
      </c>
      <c r="R42" s="44">
        <f t="shared" si="22"/>
        <v>117</v>
      </c>
      <c r="S42" s="44">
        <f t="shared" si="22"/>
        <v>117</v>
      </c>
      <c r="T42" s="44">
        <f t="shared" si="22"/>
        <v>117</v>
      </c>
      <c r="U42" s="44">
        <f t="shared" si="22"/>
        <v>117</v>
      </c>
      <c r="V42" s="44">
        <f t="shared" si="22"/>
        <v>117</v>
      </c>
      <c r="W42" s="44">
        <f t="shared" si="22"/>
        <v>117</v>
      </c>
      <c r="X42" s="44">
        <f t="shared" si="22"/>
        <v>117</v>
      </c>
      <c r="Y42" s="44">
        <f t="shared" si="22"/>
        <v>117</v>
      </c>
      <c r="Z42" s="44">
        <f t="shared" si="22"/>
        <v>117</v>
      </c>
      <c r="AA42" s="44">
        <f t="shared" si="22"/>
        <v>117</v>
      </c>
      <c r="AB42" s="44">
        <f t="shared" si="22"/>
        <v>117</v>
      </c>
      <c r="AC42" s="44">
        <f t="shared" si="22"/>
        <v>117</v>
      </c>
      <c r="AD42" s="44">
        <f t="shared" si="22"/>
        <v>117</v>
      </c>
      <c r="AE42" s="44">
        <f t="shared" si="22"/>
        <v>117</v>
      </c>
      <c r="AF42" s="44">
        <f t="shared" si="22"/>
        <v>117</v>
      </c>
      <c r="AG42" s="44">
        <f t="shared" si="22"/>
        <v>117</v>
      </c>
      <c r="AH42" s="44">
        <f t="shared" si="22"/>
        <v>117</v>
      </c>
      <c r="AI42" s="44">
        <f t="shared" si="22"/>
        <v>117</v>
      </c>
      <c r="AJ42" s="44">
        <f t="shared" si="22"/>
        <v>117</v>
      </c>
      <c r="AK42" s="44">
        <f t="shared" si="22"/>
        <v>117</v>
      </c>
    </row>
    <row r="43" spans="1:37" s="35" customFormat="1" x14ac:dyDescent="0.25">
      <c r="A43" s="37" t="s">
        <v>204</v>
      </c>
      <c r="B43" s="47">
        <v>20</v>
      </c>
      <c r="C43" s="42">
        <f>B43*(1+B44)</f>
        <v>20.019999999999996</v>
      </c>
      <c r="D43" s="42">
        <f t="shared" ref="D43:AK43" si="23">C43*(1+C44)</f>
        <v>20.040019999999995</v>
      </c>
      <c r="E43" s="42">
        <f t="shared" si="23"/>
        <v>20.060060019999991</v>
      </c>
      <c r="F43" s="42">
        <f t="shared" si="23"/>
        <v>20.080120080019988</v>
      </c>
      <c r="G43" s="42">
        <f t="shared" si="23"/>
        <v>20.100200200100005</v>
      </c>
      <c r="H43" s="42">
        <f t="shared" si="23"/>
        <v>20.120300400300103</v>
      </c>
      <c r="I43" s="42">
        <f t="shared" si="23"/>
        <v>20.1404207007004</v>
      </c>
      <c r="J43" s="42">
        <f t="shared" si="23"/>
        <v>20.160561121401098</v>
      </c>
      <c r="K43" s="42">
        <f t="shared" si="23"/>
        <v>20.180721682522499</v>
      </c>
      <c r="L43" s="42">
        <f t="shared" si="23"/>
        <v>20.200902404205021</v>
      </c>
      <c r="M43" s="42">
        <f t="shared" si="23"/>
        <v>20.221103306609223</v>
      </c>
      <c r="N43" s="42">
        <f t="shared" si="23"/>
        <v>20.24132440991583</v>
      </c>
      <c r="O43" s="42">
        <f t="shared" si="23"/>
        <v>20.261565734325742</v>
      </c>
      <c r="P43" s="42">
        <f t="shared" si="23"/>
        <v>20.281827300060066</v>
      </c>
      <c r="Q43" s="42">
        <f t="shared" si="23"/>
        <v>20.302109127360122</v>
      </c>
      <c r="R43" s="42">
        <f t="shared" si="23"/>
        <v>20.322411236487479</v>
      </c>
      <c r="S43" s="42">
        <f t="shared" si="23"/>
        <v>20.342733647723964</v>
      </c>
      <c r="T43" s="42">
        <f t="shared" si="23"/>
        <v>20.363076381371688</v>
      </c>
      <c r="U43" s="42">
        <f t="shared" si="23"/>
        <v>20.383439457753056</v>
      </c>
      <c r="V43" s="42">
        <f t="shared" si="23"/>
        <v>20.403822897210805</v>
      </c>
      <c r="W43" s="42">
        <f t="shared" si="23"/>
        <v>20.424226720108013</v>
      </c>
      <c r="X43" s="42">
        <f t="shared" si="23"/>
        <v>20.444650946828119</v>
      </c>
      <c r="Y43" s="42">
        <f t="shared" si="23"/>
        <v>20.465095597774944</v>
      </c>
      <c r="Z43" s="42">
        <f t="shared" si="23"/>
        <v>20.485560693372715</v>
      </c>
      <c r="AA43" s="42">
        <f t="shared" si="23"/>
        <v>20.506046254066085</v>
      </c>
      <c r="AB43" s="42">
        <f t="shared" si="23"/>
        <v>20.526552300320148</v>
      </c>
      <c r="AC43" s="42">
        <f t="shared" si="23"/>
        <v>20.547078852620466</v>
      </c>
      <c r="AD43" s="42">
        <f t="shared" si="23"/>
        <v>20.567625931473085</v>
      </c>
      <c r="AE43" s="42">
        <f t="shared" si="23"/>
        <v>20.588193557404555</v>
      </c>
      <c r="AF43" s="42">
        <f t="shared" si="23"/>
        <v>20.608781750961956</v>
      </c>
      <c r="AG43" s="42">
        <f t="shared" si="23"/>
        <v>20.629390532712915</v>
      </c>
      <c r="AH43" s="42">
        <f t="shared" si="23"/>
        <v>20.650019923245626</v>
      </c>
      <c r="AI43" s="42">
        <f t="shared" si="23"/>
        <v>20.670669943168871</v>
      </c>
      <c r="AJ43" s="42">
        <f t="shared" si="23"/>
        <v>20.691340613112036</v>
      </c>
      <c r="AK43" s="42">
        <f t="shared" si="23"/>
        <v>20.712031953725145</v>
      </c>
    </row>
    <row r="44" spans="1:37" x14ac:dyDescent="0.25">
      <c r="A44" t="s">
        <v>168</v>
      </c>
      <c r="B44" s="18">
        <v>1E-3</v>
      </c>
      <c r="C44" s="18">
        <v>1E-3</v>
      </c>
      <c r="D44" s="18">
        <v>1E-3</v>
      </c>
      <c r="E44" s="18">
        <v>1E-3</v>
      </c>
      <c r="F44" s="18">
        <v>1E-3</v>
      </c>
      <c r="G44" s="18">
        <v>1E-3</v>
      </c>
      <c r="H44" s="18">
        <v>1E-3</v>
      </c>
      <c r="I44" s="18">
        <v>1E-3</v>
      </c>
      <c r="J44" s="18">
        <v>1E-3</v>
      </c>
      <c r="K44" s="18">
        <v>1E-3</v>
      </c>
      <c r="L44" s="18">
        <v>1E-3</v>
      </c>
      <c r="M44" s="18">
        <v>1E-3</v>
      </c>
      <c r="N44" s="18">
        <v>1E-3</v>
      </c>
      <c r="O44" s="18">
        <v>1E-3</v>
      </c>
      <c r="P44" s="18">
        <v>1E-3</v>
      </c>
      <c r="Q44" s="18">
        <v>1E-3</v>
      </c>
      <c r="R44" s="18">
        <v>1E-3</v>
      </c>
      <c r="S44" s="18">
        <v>1E-3</v>
      </c>
      <c r="T44" s="18">
        <v>1E-3</v>
      </c>
      <c r="U44" s="18">
        <v>1E-3</v>
      </c>
      <c r="V44" s="18">
        <v>1E-3</v>
      </c>
      <c r="W44" s="18">
        <v>1E-3</v>
      </c>
      <c r="X44" s="18">
        <v>1E-3</v>
      </c>
      <c r="Y44" s="18">
        <v>1E-3</v>
      </c>
      <c r="Z44" s="18">
        <v>1E-3</v>
      </c>
      <c r="AA44" s="18">
        <v>1E-3</v>
      </c>
      <c r="AB44" s="18">
        <v>1E-3</v>
      </c>
      <c r="AC44" s="18">
        <v>1E-3</v>
      </c>
      <c r="AD44" s="18">
        <v>1E-3</v>
      </c>
      <c r="AE44" s="18">
        <v>1E-3</v>
      </c>
      <c r="AF44" s="18">
        <v>1E-3</v>
      </c>
      <c r="AG44" s="18">
        <v>1E-3</v>
      </c>
      <c r="AH44" s="18">
        <v>1E-3</v>
      </c>
      <c r="AI44" s="18">
        <v>1E-3</v>
      </c>
      <c r="AJ44" s="18">
        <v>1E-3</v>
      </c>
      <c r="AK44" s="18">
        <v>1E-3</v>
      </c>
    </row>
    <row r="45" spans="1:37" s="35" customFormat="1" x14ac:dyDescent="0.25">
      <c r="A45" s="35" t="s">
        <v>205</v>
      </c>
      <c r="B45" s="42">
        <f>B42*B43</f>
        <v>2340</v>
      </c>
      <c r="C45" s="42">
        <f t="shared" ref="C45:AK45" si="24">C42*C43</f>
        <v>2342.3399999999997</v>
      </c>
      <c r="D45" s="42">
        <f t="shared" si="24"/>
        <v>2344.6823399999994</v>
      </c>
      <c r="E45" s="42">
        <f t="shared" si="24"/>
        <v>2347.0270223399989</v>
      </c>
      <c r="F45" s="42">
        <f t="shared" si="24"/>
        <v>2349.3740493623386</v>
      </c>
      <c r="G45" s="42">
        <f t="shared" si="24"/>
        <v>2351.7234234117004</v>
      </c>
      <c r="H45" s="42">
        <f t="shared" si="24"/>
        <v>2354.0751468351118</v>
      </c>
      <c r="I45" s="42">
        <f t="shared" si="24"/>
        <v>2356.4292219819467</v>
      </c>
      <c r="J45" s="42">
        <f t="shared" si="24"/>
        <v>2358.7856512039284</v>
      </c>
      <c r="K45" s="42">
        <f t="shared" si="24"/>
        <v>2361.1444368551324</v>
      </c>
      <c r="L45" s="42">
        <f t="shared" si="24"/>
        <v>2363.5055812919873</v>
      </c>
      <c r="M45" s="42">
        <f t="shared" si="24"/>
        <v>2365.8690868732792</v>
      </c>
      <c r="N45" s="42">
        <f t="shared" si="24"/>
        <v>2368.2349559601521</v>
      </c>
      <c r="O45" s="42">
        <f t="shared" si="24"/>
        <v>2370.603190916112</v>
      </c>
      <c r="P45" s="42">
        <f t="shared" si="24"/>
        <v>2372.9737941070275</v>
      </c>
      <c r="Q45" s="42">
        <f t="shared" si="24"/>
        <v>2375.3467679011342</v>
      </c>
      <c r="R45" s="42">
        <f t="shared" si="24"/>
        <v>2377.7221146690349</v>
      </c>
      <c r="S45" s="42">
        <f t="shared" si="24"/>
        <v>2380.0998367837037</v>
      </c>
      <c r="T45" s="42">
        <f t="shared" si="24"/>
        <v>2382.4799366204875</v>
      </c>
      <c r="U45" s="42">
        <f t="shared" si="24"/>
        <v>2384.8624165571077</v>
      </c>
      <c r="V45" s="42">
        <f t="shared" si="24"/>
        <v>2387.2472789736644</v>
      </c>
      <c r="W45" s="42">
        <f t="shared" si="24"/>
        <v>2389.6345262526374</v>
      </c>
      <c r="X45" s="42">
        <f t="shared" si="24"/>
        <v>2392.0241607788898</v>
      </c>
      <c r="Y45" s="42">
        <f t="shared" si="24"/>
        <v>2394.4161849396683</v>
      </c>
      <c r="Z45" s="42">
        <f t="shared" si="24"/>
        <v>2396.8106011246077</v>
      </c>
      <c r="AA45" s="42">
        <f t="shared" si="24"/>
        <v>2399.2074117257321</v>
      </c>
      <c r="AB45" s="42">
        <f t="shared" si="24"/>
        <v>2401.6066191374575</v>
      </c>
      <c r="AC45" s="42">
        <f t="shared" si="24"/>
        <v>2404.0082257565946</v>
      </c>
      <c r="AD45" s="42">
        <f t="shared" si="24"/>
        <v>2406.4122339823512</v>
      </c>
      <c r="AE45" s="42">
        <f t="shared" si="24"/>
        <v>2408.818646216333</v>
      </c>
      <c r="AF45" s="42">
        <f t="shared" si="24"/>
        <v>2411.2274648625489</v>
      </c>
      <c r="AG45" s="42">
        <f t="shared" si="24"/>
        <v>2413.6386923274108</v>
      </c>
      <c r="AH45" s="42">
        <f t="shared" si="24"/>
        <v>2416.0523310197382</v>
      </c>
      <c r="AI45" s="42">
        <f t="shared" si="24"/>
        <v>2418.4683833507579</v>
      </c>
      <c r="AJ45" s="42">
        <f t="shared" si="24"/>
        <v>2420.8868517341084</v>
      </c>
      <c r="AK45" s="42">
        <f t="shared" si="24"/>
        <v>2423.3077385858419</v>
      </c>
    </row>
    <row r="46" spans="1:37" s="35" customForma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s="35" customFormat="1" x14ac:dyDescent="0.25">
      <c r="A47" s="35" t="s">
        <v>206</v>
      </c>
      <c r="B47" s="44">
        <f>61*4.5</f>
        <v>274.5</v>
      </c>
      <c r="C47" s="44">
        <f t="shared" ref="C47:AK47" si="25">61*4.5</f>
        <v>274.5</v>
      </c>
      <c r="D47" s="44">
        <f t="shared" si="25"/>
        <v>274.5</v>
      </c>
      <c r="E47" s="44">
        <f t="shared" si="25"/>
        <v>274.5</v>
      </c>
      <c r="F47" s="44">
        <f t="shared" si="25"/>
        <v>274.5</v>
      </c>
      <c r="G47" s="44">
        <f t="shared" si="25"/>
        <v>274.5</v>
      </c>
      <c r="H47" s="44">
        <f t="shared" si="25"/>
        <v>274.5</v>
      </c>
      <c r="I47" s="44">
        <f t="shared" si="25"/>
        <v>274.5</v>
      </c>
      <c r="J47" s="44">
        <f t="shared" si="25"/>
        <v>274.5</v>
      </c>
      <c r="K47" s="44">
        <f t="shared" si="25"/>
        <v>274.5</v>
      </c>
      <c r="L47" s="44">
        <f t="shared" si="25"/>
        <v>274.5</v>
      </c>
      <c r="M47" s="44">
        <f t="shared" si="25"/>
        <v>274.5</v>
      </c>
      <c r="N47" s="44">
        <f t="shared" si="25"/>
        <v>274.5</v>
      </c>
      <c r="O47" s="44">
        <f t="shared" si="25"/>
        <v>274.5</v>
      </c>
      <c r="P47" s="44">
        <f t="shared" si="25"/>
        <v>274.5</v>
      </c>
      <c r="Q47" s="44">
        <f t="shared" si="25"/>
        <v>274.5</v>
      </c>
      <c r="R47" s="44">
        <f t="shared" si="25"/>
        <v>274.5</v>
      </c>
      <c r="S47" s="44">
        <f t="shared" si="25"/>
        <v>274.5</v>
      </c>
      <c r="T47" s="44">
        <f t="shared" si="25"/>
        <v>274.5</v>
      </c>
      <c r="U47" s="44">
        <f t="shared" si="25"/>
        <v>274.5</v>
      </c>
      <c r="V47" s="44">
        <f t="shared" si="25"/>
        <v>274.5</v>
      </c>
      <c r="W47" s="44">
        <f t="shared" si="25"/>
        <v>274.5</v>
      </c>
      <c r="X47" s="44">
        <f t="shared" si="25"/>
        <v>274.5</v>
      </c>
      <c r="Y47" s="44">
        <f t="shared" si="25"/>
        <v>274.5</v>
      </c>
      <c r="Z47" s="44">
        <f t="shared" si="25"/>
        <v>274.5</v>
      </c>
      <c r="AA47" s="44">
        <f t="shared" si="25"/>
        <v>274.5</v>
      </c>
      <c r="AB47" s="44">
        <f t="shared" si="25"/>
        <v>274.5</v>
      </c>
      <c r="AC47" s="44">
        <f t="shared" si="25"/>
        <v>274.5</v>
      </c>
      <c r="AD47" s="44">
        <f t="shared" si="25"/>
        <v>274.5</v>
      </c>
      <c r="AE47" s="44">
        <f t="shared" si="25"/>
        <v>274.5</v>
      </c>
      <c r="AF47" s="44">
        <f t="shared" si="25"/>
        <v>274.5</v>
      </c>
      <c r="AG47" s="44">
        <f t="shared" si="25"/>
        <v>274.5</v>
      </c>
      <c r="AH47" s="44">
        <f t="shared" si="25"/>
        <v>274.5</v>
      </c>
      <c r="AI47" s="44">
        <f t="shared" si="25"/>
        <v>274.5</v>
      </c>
      <c r="AJ47" s="44">
        <f t="shared" si="25"/>
        <v>274.5</v>
      </c>
      <c r="AK47" s="44">
        <f t="shared" si="25"/>
        <v>274.5</v>
      </c>
    </row>
    <row r="48" spans="1:37" s="35" customFormat="1" x14ac:dyDescent="0.25">
      <c r="A48" s="35" t="s">
        <v>207</v>
      </c>
      <c r="B48" s="25">
        <v>10</v>
      </c>
      <c r="C48" s="42">
        <f>B48*(1+B49)</f>
        <v>10.009999999999998</v>
      </c>
      <c r="D48" s="42">
        <f t="shared" ref="D48:AK48" si="26">C48*(1+C49)</f>
        <v>10.020009999999997</v>
      </c>
      <c r="E48" s="42">
        <f t="shared" si="26"/>
        <v>10.030030009999995</v>
      </c>
      <c r="F48" s="42">
        <f t="shared" si="26"/>
        <v>10.040060040009994</v>
      </c>
      <c r="G48" s="42">
        <f t="shared" si="26"/>
        <v>10.050100100050003</v>
      </c>
      <c r="H48" s="42">
        <f t="shared" si="26"/>
        <v>10.060150200150051</v>
      </c>
      <c r="I48" s="42">
        <f t="shared" si="26"/>
        <v>10.0702103503502</v>
      </c>
      <c r="J48" s="42">
        <f t="shared" si="26"/>
        <v>10.080280560700549</v>
      </c>
      <c r="K48" s="42">
        <f t="shared" si="26"/>
        <v>10.09036084126125</v>
      </c>
      <c r="L48" s="42">
        <f t="shared" si="26"/>
        <v>10.10045120210251</v>
      </c>
      <c r="M48" s="42">
        <f t="shared" si="26"/>
        <v>10.110551653304611</v>
      </c>
      <c r="N48" s="42">
        <f t="shared" si="26"/>
        <v>10.120662204957915</v>
      </c>
      <c r="O48" s="42">
        <f t="shared" si="26"/>
        <v>10.130782867162871</v>
      </c>
      <c r="P48" s="42">
        <f t="shared" si="26"/>
        <v>10.140913650030033</v>
      </c>
      <c r="Q48" s="42">
        <f t="shared" si="26"/>
        <v>10.151054563680061</v>
      </c>
      <c r="R48" s="42">
        <f t="shared" si="26"/>
        <v>10.16120561824374</v>
      </c>
      <c r="S48" s="42">
        <f t="shared" si="26"/>
        <v>10.171366823861982</v>
      </c>
      <c r="T48" s="42">
        <f t="shared" si="26"/>
        <v>10.181538190685844</v>
      </c>
      <c r="U48" s="42">
        <f t="shared" si="26"/>
        <v>10.191719728876528</v>
      </c>
      <c r="V48" s="42">
        <f t="shared" si="26"/>
        <v>10.201911448605403</v>
      </c>
      <c r="W48" s="42">
        <f t="shared" si="26"/>
        <v>10.212113360054007</v>
      </c>
      <c r="X48" s="42">
        <f t="shared" si="26"/>
        <v>10.22232547341406</v>
      </c>
      <c r="Y48" s="42">
        <f t="shared" si="26"/>
        <v>10.232547798887472</v>
      </c>
      <c r="Z48" s="42">
        <f t="shared" si="26"/>
        <v>10.242780346686358</v>
      </c>
      <c r="AA48" s="42">
        <f t="shared" si="26"/>
        <v>10.253023127033043</v>
      </c>
      <c r="AB48" s="42">
        <f t="shared" si="26"/>
        <v>10.263276150160074</v>
      </c>
      <c r="AC48" s="42">
        <f t="shared" si="26"/>
        <v>10.273539426310233</v>
      </c>
      <c r="AD48" s="42">
        <f t="shared" si="26"/>
        <v>10.283812965736542</v>
      </c>
      <c r="AE48" s="42">
        <f t="shared" si="26"/>
        <v>10.294096778702277</v>
      </c>
      <c r="AF48" s="42">
        <f t="shared" si="26"/>
        <v>10.304390875480978</v>
      </c>
      <c r="AG48" s="42">
        <f t="shared" si="26"/>
        <v>10.314695266356457</v>
      </c>
      <c r="AH48" s="42">
        <f t="shared" si="26"/>
        <v>10.325009961622813</v>
      </c>
      <c r="AI48" s="42">
        <f t="shared" si="26"/>
        <v>10.335334971584436</v>
      </c>
      <c r="AJ48" s="42">
        <f t="shared" si="26"/>
        <v>10.345670306556018</v>
      </c>
      <c r="AK48" s="42">
        <f t="shared" si="26"/>
        <v>10.356015976862572</v>
      </c>
    </row>
    <row r="49" spans="1:37" x14ac:dyDescent="0.25">
      <c r="A49" t="s">
        <v>168</v>
      </c>
      <c r="B49" s="18">
        <v>1E-3</v>
      </c>
      <c r="C49" s="18">
        <v>1E-3</v>
      </c>
      <c r="D49" s="18">
        <v>1E-3</v>
      </c>
      <c r="E49" s="18">
        <v>1E-3</v>
      </c>
      <c r="F49" s="18">
        <v>1E-3</v>
      </c>
      <c r="G49" s="18">
        <v>1E-3</v>
      </c>
      <c r="H49" s="18">
        <v>1E-3</v>
      </c>
      <c r="I49" s="18">
        <v>1E-3</v>
      </c>
      <c r="J49" s="18">
        <v>1E-3</v>
      </c>
      <c r="K49" s="18">
        <v>1E-3</v>
      </c>
      <c r="L49" s="18">
        <v>1E-3</v>
      </c>
      <c r="M49" s="18">
        <v>1E-3</v>
      </c>
      <c r="N49" s="18">
        <v>1E-3</v>
      </c>
      <c r="O49" s="18">
        <v>1E-3</v>
      </c>
      <c r="P49" s="18">
        <v>1E-3</v>
      </c>
      <c r="Q49" s="18">
        <v>1E-3</v>
      </c>
      <c r="R49" s="18">
        <v>1E-3</v>
      </c>
      <c r="S49" s="18">
        <v>1E-3</v>
      </c>
      <c r="T49" s="18">
        <v>1E-3</v>
      </c>
      <c r="U49" s="18">
        <v>1E-3</v>
      </c>
      <c r="V49" s="18">
        <v>1E-3</v>
      </c>
      <c r="W49" s="18">
        <v>1E-3</v>
      </c>
      <c r="X49" s="18">
        <v>1E-3</v>
      </c>
      <c r="Y49" s="18">
        <v>1E-3</v>
      </c>
      <c r="Z49" s="18">
        <v>1E-3</v>
      </c>
      <c r="AA49" s="18">
        <v>1E-3</v>
      </c>
      <c r="AB49" s="18">
        <v>1E-3</v>
      </c>
      <c r="AC49" s="18">
        <v>1E-3</v>
      </c>
      <c r="AD49" s="18">
        <v>1E-3</v>
      </c>
      <c r="AE49" s="18">
        <v>1E-3</v>
      </c>
      <c r="AF49" s="18">
        <v>1E-3</v>
      </c>
      <c r="AG49" s="18">
        <v>1E-3</v>
      </c>
      <c r="AH49" s="18">
        <v>1E-3</v>
      </c>
      <c r="AI49" s="18">
        <v>1E-3</v>
      </c>
      <c r="AJ49" s="18">
        <v>1E-3</v>
      </c>
      <c r="AK49" s="18">
        <v>1E-3</v>
      </c>
    </row>
    <row r="50" spans="1:37" s="35" customFormat="1" x14ac:dyDescent="0.25">
      <c r="A50" s="35" t="s">
        <v>208</v>
      </c>
      <c r="B50" s="42">
        <f>B47*B48</f>
        <v>2745</v>
      </c>
      <c r="C50" s="42">
        <f t="shared" ref="C50:AK50" si="27">C47*C48</f>
        <v>2747.7449999999994</v>
      </c>
      <c r="D50" s="42">
        <f t="shared" si="27"/>
        <v>2750.4927449999991</v>
      </c>
      <c r="E50" s="42">
        <f t="shared" si="27"/>
        <v>2753.2432377449986</v>
      </c>
      <c r="F50" s="42">
        <f t="shared" si="27"/>
        <v>2755.9964809827434</v>
      </c>
      <c r="G50" s="42">
        <f t="shared" si="27"/>
        <v>2758.7524774637259</v>
      </c>
      <c r="H50" s="42">
        <f t="shared" si="27"/>
        <v>2761.511229941189</v>
      </c>
      <c r="I50" s="42">
        <f t="shared" si="27"/>
        <v>2764.2727411711298</v>
      </c>
      <c r="J50" s="42">
        <f t="shared" si="27"/>
        <v>2767.0370139123006</v>
      </c>
      <c r="K50" s="42">
        <f t="shared" si="27"/>
        <v>2769.8040509262132</v>
      </c>
      <c r="L50" s="42">
        <f t="shared" si="27"/>
        <v>2772.573854977139</v>
      </c>
      <c r="M50" s="42">
        <f t="shared" si="27"/>
        <v>2775.3464288321156</v>
      </c>
      <c r="N50" s="42">
        <f t="shared" si="27"/>
        <v>2778.1217752609477</v>
      </c>
      <c r="O50" s="42">
        <f t="shared" si="27"/>
        <v>2780.8998970362081</v>
      </c>
      <c r="P50" s="42">
        <f t="shared" si="27"/>
        <v>2783.680796933244</v>
      </c>
      <c r="Q50" s="42">
        <f t="shared" si="27"/>
        <v>2786.4644777301769</v>
      </c>
      <c r="R50" s="42">
        <f t="shared" si="27"/>
        <v>2789.2509422079065</v>
      </c>
      <c r="S50" s="42">
        <f t="shared" si="27"/>
        <v>2792.0401931501142</v>
      </c>
      <c r="T50" s="42">
        <f t="shared" si="27"/>
        <v>2794.8322333432643</v>
      </c>
      <c r="U50" s="42">
        <f t="shared" si="27"/>
        <v>2797.627065576607</v>
      </c>
      <c r="V50" s="42">
        <f t="shared" si="27"/>
        <v>2800.4246926421829</v>
      </c>
      <c r="W50" s="42">
        <f t="shared" si="27"/>
        <v>2803.225117334825</v>
      </c>
      <c r="X50" s="42">
        <f t="shared" si="27"/>
        <v>2806.0283424521594</v>
      </c>
      <c r="Y50" s="42">
        <f t="shared" si="27"/>
        <v>2808.834370794611</v>
      </c>
      <c r="Z50" s="42">
        <f t="shared" si="27"/>
        <v>2811.6432051654051</v>
      </c>
      <c r="AA50" s="42">
        <f t="shared" si="27"/>
        <v>2814.4548483705703</v>
      </c>
      <c r="AB50" s="42">
        <f t="shared" si="27"/>
        <v>2817.2693032189404</v>
      </c>
      <c r="AC50" s="42">
        <f t="shared" si="27"/>
        <v>2820.0865725221588</v>
      </c>
      <c r="AD50" s="42">
        <f t="shared" si="27"/>
        <v>2822.9066590946809</v>
      </c>
      <c r="AE50" s="42">
        <f t="shared" si="27"/>
        <v>2825.7295657537752</v>
      </c>
      <c r="AF50" s="42">
        <f t="shared" si="27"/>
        <v>2828.5552953195283</v>
      </c>
      <c r="AG50" s="42">
        <f t="shared" si="27"/>
        <v>2831.3838506148477</v>
      </c>
      <c r="AH50" s="42">
        <f t="shared" si="27"/>
        <v>2834.2152344654623</v>
      </c>
      <c r="AI50" s="42">
        <f t="shared" si="27"/>
        <v>2837.0494496999277</v>
      </c>
      <c r="AJ50" s="42">
        <f t="shared" si="27"/>
        <v>2839.8864991496271</v>
      </c>
      <c r="AK50" s="42">
        <f t="shared" si="27"/>
        <v>2842.7263856487762</v>
      </c>
    </row>
    <row r="51" spans="1:37" s="35" customFormat="1" x14ac:dyDescent="0.25">
      <c r="A51" s="3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s="35" customFormat="1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s="35" customFormat="1" x14ac:dyDescent="0.25">
      <c r="A53" s="40" t="s">
        <v>190</v>
      </c>
      <c r="B53" s="25">
        <v>0</v>
      </c>
      <c r="C53" s="42">
        <f>B53*(1+B54)</f>
        <v>0</v>
      </c>
      <c r="D53" s="42">
        <f t="shared" ref="D53:AK53" si="28">C53*(1+C54)</f>
        <v>0</v>
      </c>
      <c r="E53" s="42">
        <f t="shared" si="28"/>
        <v>0</v>
      </c>
      <c r="F53" s="42">
        <f t="shared" si="28"/>
        <v>0</v>
      </c>
      <c r="G53" s="42">
        <f t="shared" si="28"/>
        <v>0</v>
      </c>
      <c r="H53" s="42">
        <f t="shared" si="28"/>
        <v>0</v>
      </c>
      <c r="I53" s="42">
        <f t="shared" si="28"/>
        <v>0</v>
      </c>
      <c r="J53" s="42">
        <f t="shared" si="28"/>
        <v>0</v>
      </c>
      <c r="K53" s="42">
        <f t="shared" si="28"/>
        <v>0</v>
      </c>
      <c r="L53" s="42">
        <f t="shared" si="28"/>
        <v>0</v>
      </c>
      <c r="M53" s="42">
        <f t="shared" si="28"/>
        <v>0</v>
      </c>
      <c r="N53" s="42">
        <f t="shared" si="28"/>
        <v>0</v>
      </c>
      <c r="O53" s="42">
        <f t="shared" si="28"/>
        <v>0</v>
      </c>
      <c r="P53" s="42">
        <f t="shared" si="28"/>
        <v>0</v>
      </c>
      <c r="Q53" s="42">
        <f t="shared" si="28"/>
        <v>0</v>
      </c>
      <c r="R53" s="42">
        <f t="shared" si="28"/>
        <v>0</v>
      </c>
      <c r="S53" s="42">
        <f t="shared" si="28"/>
        <v>0</v>
      </c>
      <c r="T53" s="42">
        <f t="shared" si="28"/>
        <v>0</v>
      </c>
      <c r="U53" s="42">
        <f t="shared" si="28"/>
        <v>0</v>
      </c>
      <c r="V53" s="42">
        <f t="shared" si="28"/>
        <v>0</v>
      </c>
      <c r="W53" s="42">
        <f t="shared" si="28"/>
        <v>0</v>
      </c>
      <c r="X53" s="42">
        <f t="shared" si="28"/>
        <v>0</v>
      </c>
      <c r="Y53" s="42">
        <f t="shared" si="28"/>
        <v>0</v>
      </c>
      <c r="Z53" s="42">
        <f t="shared" si="28"/>
        <v>0</v>
      </c>
      <c r="AA53" s="42">
        <f t="shared" si="28"/>
        <v>0</v>
      </c>
      <c r="AB53" s="42">
        <f t="shared" si="28"/>
        <v>0</v>
      </c>
      <c r="AC53" s="42">
        <f t="shared" si="28"/>
        <v>0</v>
      </c>
      <c r="AD53" s="42">
        <f t="shared" si="28"/>
        <v>0</v>
      </c>
      <c r="AE53" s="42">
        <f t="shared" si="28"/>
        <v>0</v>
      </c>
      <c r="AF53" s="42">
        <f t="shared" si="28"/>
        <v>0</v>
      </c>
      <c r="AG53" s="42">
        <f t="shared" si="28"/>
        <v>0</v>
      </c>
      <c r="AH53" s="42">
        <f t="shared" si="28"/>
        <v>0</v>
      </c>
      <c r="AI53" s="42">
        <f t="shared" si="28"/>
        <v>0</v>
      </c>
      <c r="AJ53" s="42">
        <f t="shared" si="28"/>
        <v>0</v>
      </c>
      <c r="AK53" s="42">
        <f t="shared" si="28"/>
        <v>0</v>
      </c>
    </row>
    <row r="54" spans="1:37" x14ac:dyDescent="0.25">
      <c r="A54" t="s">
        <v>168</v>
      </c>
      <c r="B54" s="22">
        <v>0.01</v>
      </c>
      <c r="C54" s="22">
        <v>0.01</v>
      </c>
      <c r="D54" s="22">
        <v>0.01</v>
      </c>
      <c r="E54" s="22">
        <v>0.01</v>
      </c>
      <c r="F54" s="22">
        <v>0.01</v>
      </c>
      <c r="G54" s="22">
        <v>0.01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</row>
    <row r="55" spans="1:37" s="35" customFormat="1" x14ac:dyDescent="0.25">
      <c r="A55" s="37" t="s">
        <v>191</v>
      </c>
      <c r="B55" s="31">
        <v>10</v>
      </c>
      <c r="C55" s="32">
        <f>B55*(1+B56)</f>
        <v>10.1</v>
      </c>
      <c r="D55" s="32">
        <f t="shared" ref="D55:AK55" si="29">C55*(1+C56)</f>
        <v>10.201000000000001</v>
      </c>
      <c r="E55" s="32">
        <f t="shared" si="29"/>
        <v>10.30301</v>
      </c>
      <c r="F55" s="32">
        <f t="shared" si="29"/>
        <v>10.4060401</v>
      </c>
      <c r="G55" s="32">
        <f t="shared" si="29"/>
        <v>10.510100501</v>
      </c>
      <c r="H55" s="32">
        <f t="shared" si="29"/>
        <v>10.615201506010001</v>
      </c>
      <c r="I55" s="32">
        <f t="shared" si="29"/>
        <v>10.615201506010001</v>
      </c>
      <c r="J55" s="32">
        <f t="shared" si="29"/>
        <v>10.615201506010001</v>
      </c>
      <c r="K55" s="32">
        <f t="shared" si="29"/>
        <v>10.615201506010001</v>
      </c>
      <c r="L55" s="32">
        <f t="shared" si="29"/>
        <v>10.615201506010001</v>
      </c>
      <c r="M55" s="32">
        <f t="shared" si="29"/>
        <v>10.615201506010001</v>
      </c>
      <c r="N55" s="32">
        <f t="shared" si="29"/>
        <v>10.615201506010001</v>
      </c>
      <c r="O55" s="32">
        <f t="shared" si="29"/>
        <v>10.615201506010001</v>
      </c>
      <c r="P55" s="32">
        <f t="shared" si="29"/>
        <v>10.615201506010001</v>
      </c>
      <c r="Q55" s="32">
        <f t="shared" si="29"/>
        <v>10.615201506010001</v>
      </c>
      <c r="R55" s="32">
        <f t="shared" si="29"/>
        <v>10.615201506010001</v>
      </c>
      <c r="S55" s="32">
        <f t="shared" si="29"/>
        <v>10.615201506010001</v>
      </c>
      <c r="T55" s="32">
        <f t="shared" si="29"/>
        <v>10.615201506010001</v>
      </c>
      <c r="U55" s="32">
        <f t="shared" si="29"/>
        <v>10.615201506010001</v>
      </c>
      <c r="V55" s="32">
        <f t="shared" si="29"/>
        <v>10.615201506010001</v>
      </c>
      <c r="W55" s="32">
        <f t="shared" si="29"/>
        <v>10.615201506010001</v>
      </c>
      <c r="X55" s="32">
        <f t="shared" si="29"/>
        <v>10.615201506010001</v>
      </c>
      <c r="Y55" s="32">
        <f t="shared" si="29"/>
        <v>10.615201506010001</v>
      </c>
      <c r="Z55" s="32">
        <f t="shared" si="29"/>
        <v>10.615201506010001</v>
      </c>
      <c r="AA55" s="32">
        <f t="shared" si="29"/>
        <v>10.615201506010001</v>
      </c>
      <c r="AB55" s="32">
        <f t="shared" si="29"/>
        <v>10.615201506010001</v>
      </c>
      <c r="AC55" s="32">
        <f t="shared" si="29"/>
        <v>10.615201506010001</v>
      </c>
      <c r="AD55" s="32">
        <f t="shared" si="29"/>
        <v>10.615201506010001</v>
      </c>
      <c r="AE55" s="32">
        <f t="shared" si="29"/>
        <v>10.615201506010001</v>
      </c>
      <c r="AF55" s="32">
        <f t="shared" si="29"/>
        <v>10.615201506010001</v>
      </c>
      <c r="AG55" s="32">
        <f t="shared" si="29"/>
        <v>10.615201506010001</v>
      </c>
      <c r="AH55" s="32">
        <f t="shared" si="29"/>
        <v>10.615201506010001</v>
      </c>
      <c r="AI55" s="32">
        <f t="shared" si="29"/>
        <v>10.615201506010001</v>
      </c>
      <c r="AJ55" s="32">
        <f t="shared" si="29"/>
        <v>10.615201506010001</v>
      </c>
      <c r="AK55" s="32">
        <f t="shared" si="29"/>
        <v>10.615201506010001</v>
      </c>
    </row>
    <row r="56" spans="1:37" x14ac:dyDescent="0.25">
      <c r="A56" t="s">
        <v>168</v>
      </c>
      <c r="B56" s="22">
        <v>0.01</v>
      </c>
      <c r="C56" s="22">
        <v>0.01</v>
      </c>
      <c r="D56" s="22">
        <v>0.01</v>
      </c>
      <c r="E56" s="22">
        <v>0.01</v>
      </c>
      <c r="F56" s="22">
        <v>0.01</v>
      </c>
      <c r="G56" s="22">
        <v>0.01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</row>
    <row r="57" spans="1:37" s="35" customFormat="1" x14ac:dyDescent="0.25">
      <c r="A57" s="37" t="s">
        <v>192</v>
      </c>
      <c r="B57" s="34">
        <v>25</v>
      </c>
      <c r="C57" s="34">
        <v>25</v>
      </c>
      <c r="D57" s="34">
        <v>25</v>
      </c>
      <c r="E57" s="34">
        <v>25</v>
      </c>
      <c r="F57" s="34">
        <v>25</v>
      </c>
      <c r="G57" s="34">
        <v>25</v>
      </c>
      <c r="H57" s="34">
        <v>25</v>
      </c>
      <c r="I57" s="34">
        <v>25</v>
      </c>
      <c r="J57" s="34">
        <v>25</v>
      </c>
      <c r="K57" s="34">
        <v>25</v>
      </c>
      <c r="L57" s="34">
        <v>25</v>
      </c>
      <c r="M57" s="34">
        <v>25</v>
      </c>
      <c r="N57" s="34">
        <v>25</v>
      </c>
      <c r="O57" s="34">
        <v>25</v>
      </c>
      <c r="P57" s="34">
        <v>25</v>
      </c>
      <c r="Q57" s="34">
        <v>25</v>
      </c>
      <c r="R57" s="34">
        <v>25</v>
      </c>
      <c r="S57" s="34">
        <v>25</v>
      </c>
      <c r="T57" s="34">
        <v>25</v>
      </c>
      <c r="U57" s="34">
        <v>25</v>
      </c>
      <c r="V57" s="34">
        <v>25</v>
      </c>
      <c r="W57" s="34">
        <v>25</v>
      </c>
      <c r="X57" s="34">
        <v>25</v>
      </c>
      <c r="Y57" s="34">
        <v>25</v>
      </c>
      <c r="Z57" s="34">
        <v>25</v>
      </c>
      <c r="AA57" s="34">
        <v>25</v>
      </c>
      <c r="AB57" s="34">
        <v>25</v>
      </c>
      <c r="AC57" s="34">
        <v>25</v>
      </c>
      <c r="AD57" s="34">
        <v>25</v>
      </c>
      <c r="AE57" s="34">
        <v>25</v>
      </c>
      <c r="AF57" s="34">
        <v>25</v>
      </c>
      <c r="AG57" s="34">
        <v>25</v>
      </c>
      <c r="AH57" s="34">
        <v>25</v>
      </c>
      <c r="AI57" s="34">
        <v>25</v>
      </c>
      <c r="AJ57" s="34">
        <v>25</v>
      </c>
      <c r="AK57" s="34">
        <v>25</v>
      </c>
    </row>
    <row r="58" spans="1:37" s="35" customFormat="1" x14ac:dyDescent="0.25">
      <c r="A58" s="37" t="s">
        <v>193</v>
      </c>
      <c r="B58" s="39">
        <f>B55*B57</f>
        <v>250</v>
      </c>
      <c r="C58" s="39">
        <f t="shared" ref="C58:AK58" si="30">C55*C57</f>
        <v>252.5</v>
      </c>
      <c r="D58" s="39">
        <f t="shared" si="30"/>
        <v>255.02500000000001</v>
      </c>
      <c r="E58" s="39">
        <f t="shared" si="30"/>
        <v>257.57524999999998</v>
      </c>
      <c r="F58" s="39">
        <f t="shared" si="30"/>
        <v>260.1510025</v>
      </c>
      <c r="G58" s="39">
        <f t="shared" si="30"/>
        <v>262.75251252499999</v>
      </c>
      <c r="H58" s="39">
        <f t="shared" si="30"/>
        <v>265.38003765025002</v>
      </c>
      <c r="I58" s="39">
        <f t="shared" si="30"/>
        <v>265.38003765025002</v>
      </c>
      <c r="J58" s="39">
        <f t="shared" si="30"/>
        <v>265.38003765025002</v>
      </c>
      <c r="K58" s="39">
        <f t="shared" si="30"/>
        <v>265.38003765025002</v>
      </c>
      <c r="L58" s="39">
        <f t="shared" si="30"/>
        <v>265.38003765025002</v>
      </c>
      <c r="M58" s="39">
        <f t="shared" si="30"/>
        <v>265.38003765025002</v>
      </c>
      <c r="N58" s="39">
        <f t="shared" si="30"/>
        <v>265.38003765025002</v>
      </c>
      <c r="O58" s="39">
        <f t="shared" si="30"/>
        <v>265.38003765025002</v>
      </c>
      <c r="P58" s="39">
        <f t="shared" si="30"/>
        <v>265.38003765025002</v>
      </c>
      <c r="Q58" s="39">
        <f t="shared" si="30"/>
        <v>265.38003765025002</v>
      </c>
      <c r="R58" s="39">
        <f t="shared" si="30"/>
        <v>265.38003765025002</v>
      </c>
      <c r="S58" s="39">
        <f t="shared" si="30"/>
        <v>265.38003765025002</v>
      </c>
      <c r="T58" s="39">
        <f t="shared" si="30"/>
        <v>265.38003765025002</v>
      </c>
      <c r="U58" s="39">
        <f t="shared" si="30"/>
        <v>265.38003765025002</v>
      </c>
      <c r="V58" s="39">
        <f t="shared" si="30"/>
        <v>265.38003765025002</v>
      </c>
      <c r="W58" s="39">
        <f t="shared" si="30"/>
        <v>265.38003765025002</v>
      </c>
      <c r="X58" s="39">
        <f t="shared" si="30"/>
        <v>265.38003765025002</v>
      </c>
      <c r="Y58" s="39">
        <f t="shared" si="30"/>
        <v>265.38003765025002</v>
      </c>
      <c r="Z58" s="39">
        <f t="shared" si="30"/>
        <v>265.38003765025002</v>
      </c>
      <c r="AA58" s="39">
        <f t="shared" si="30"/>
        <v>265.38003765025002</v>
      </c>
      <c r="AB58" s="39">
        <f t="shared" si="30"/>
        <v>265.38003765025002</v>
      </c>
      <c r="AC58" s="39">
        <f t="shared" si="30"/>
        <v>265.38003765025002</v>
      </c>
      <c r="AD58" s="39">
        <f t="shared" si="30"/>
        <v>265.38003765025002</v>
      </c>
      <c r="AE58" s="39">
        <f t="shared" si="30"/>
        <v>265.38003765025002</v>
      </c>
      <c r="AF58" s="39">
        <f t="shared" si="30"/>
        <v>265.38003765025002</v>
      </c>
      <c r="AG58" s="39">
        <f t="shared" si="30"/>
        <v>265.38003765025002</v>
      </c>
      <c r="AH58" s="39">
        <f t="shared" si="30"/>
        <v>265.38003765025002</v>
      </c>
      <c r="AI58" s="39">
        <f t="shared" si="30"/>
        <v>265.38003765025002</v>
      </c>
      <c r="AJ58" s="39">
        <f t="shared" si="30"/>
        <v>265.38003765025002</v>
      </c>
      <c r="AK58" s="39">
        <f t="shared" si="30"/>
        <v>265.38003765025002</v>
      </c>
    </row>
    <row r="59" spans="1:37" s="35" customFormat="1" x14ac:dyDescent="0.25">
      <c r="A59" s="37" t="s">
        <v>194</v>
      </c>
      <c r="B59" s="33">
        <v>0.15</v>
      </c>
      <c r="C59" s="43">
        <f>B59*(1+B60)</f>
        <v>0.1515</v>
      </c>
      <c r="D59" s="43">
        <f t="shared" ref="D59:AK59" si="31">C59*(1+C60)</f>
        <v>0.15301499999999998</v>
      </c>
      <c r="E59" s="43">
        <f t="shared" si="31"/>
        <v>0.15454514999999999</v>
      </c>
      <c r="F59" s="43">
        <f t="shared" si="31"/>
        <v>0.15609060149999998</v>
      </c>
      <c r="G59" s="43">
        <f t="shared" si="31"/>
        <v>0.15765150751499998</v>
      </c>
      <c r="H59" s="43">
        <f t="shared" si="31"/>
        <v>0.15922802259014998</v>
      </c>
      <c r="I59" s="43">
        <f t="shared" si="31"/>
        <v>0.15922802259014998</v>
      </c>
      <c r="J59" s="43">
        <f t="shared" si="31"/>
        <v>0.15922802259014998</v>
      </c>
      <c r="K59" s="43">
        <f t="shared" si="31"/>
        <v>0.15922802259014998</v>
      </c>
      <c r="L59" s="43">
        <f t="shared" si="31"/>
        <v>0.15922802259014998</v>
      </c>
      <c r="M59" s="43">
        <f t="shared" si="31"/>
        <v>0.15922802259014998</v>
      </c>
      <c r="N59" s="43">
        <f t="shared" si="31"/>
        <v>0.15922802259014998</v>
      </c>
      <c r="O59" s="43">
        <f t="shared" si="31"/>
        <v>0.15922802259014998</v>
      </c>
      <c r="P59" s="43">
        <f t="shared" si="31"/>
        <v>0.15922802259014998</v>
      </c>
      <c r="Q59" s="43">
        <f t="shared" si="31"/>
        <v>0.15922802259014998</v>
      </c>
      <c r="R59" s="43">
        <f t="shared" si="31"/>
        <v>0.15922802259014998</v>
      </c>
      <c r="S59" s="43">
        <f t="shared" si="31"/>
        <v>0.15922802259014998</v>
      </c>
      <c r="T59" s="43">
        <f t="shared" si="31"/>
        <v>0.15922802259014998</v>
      </c>
      <c r="U59" s="43">
        <f t="shared" si="31"/>
        <v>0.15922802259014998</v>
      </c>
      <c r="V59" s="43">
        <f t="shared" si="31"/>
        <v>0.15922802259014998</v>
      </c>
      <c r="W59" s="43">
        <f t="shared" si="31"/>
        <v>0.15922802259014998</v>
      </c>
      <c r="X59" s="43">
        <f t="shared" si="31"/>
        <v>0.15922802259014998</v>
      </c>
      <c r="Y59" s="43">
        <f t="shared" si="31"/>
        <v>0.15922802259014998</v>
      </c>
      <c r="Z59" s="43">
        <f t="shared" si="31"/>
        <v>0.15922802259014998</v>
      </c>
      <c r="AA59" s="43">
        <f t="shared" si="31"/>
        <v>0.15922802259014998</v>
      </c>
      <c r="AB59" s="43">
        <f t="shared" si="31"/>
        <v>0.15922802259014998</v>
      </c>
      <c r="AC59" s="43">
        <f t="shared" si="31"/>
        <v>0.15922802259014998</v>
      </c>
      <c r="AD59" s="43">
        <f t="shared" si="31"/>
        <v>0.15922802259014998</v>
      </c>
      <c r="AE59" s="43">
        <f t="shared" si="31"/>
        <v>0.15922802259014998</v>
      </c>
      <c r="AF59" s="43">
        <f t="shared" si="31"/>
        <v>0.15922802259014998</v>
      </c>
      <c r="AG59" s="43">
        <f t="shared" si="31"/>
        <v>0.15922802259014998</v>
      </c>
      <c r="AH59" s="43">
        <f t="shared" si="31"/>
        <v>0.15922802259014998</v>
      </c>
      <c r="AI59" s="43">
        <f t="shared" si="31"/>
        <v>0.15922802259014998</v>
      </c>
      <c r="AJ59" s="43">
        <f t="shared" si="31"/>
        <v>0.15922802259014998</v>
      </c>
      <c r="AK59" s="43">
        <f t="shared" si="31"/>
        <v>0.15922802259014998</v>
      </c>
    </row>
    <row r="60" spans="1:37" x14ac:dyDescent="0.25">
      <c r="A60" t="s">
        <v>168</v>
      </c>
      <c r="B60" s="22">
        <v>0.01</v>
      </c>
      <c r="C60" s="22">
        <v>0.01</v>
      </c>
      <c r="D60" s="22">
        <v>0.01</v>
      </c>
      <c r="E60" s="22">
        <v>0.01</v>
      </c>
      <c r="F60" s="22">
        <v>0.01</v>
      </c>
      <c r="G60" s="22">
        <v>0.01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</row>
    <row r="61" spans="1:37" x14ac:dyDescent="0.25">
      <c r="A61" s="37" t="s">
        <v>195</v>
      </c>
      <c r="B61" s="24">
        <f>B53*B58*B59</f>
        <v>0</v>
      </c>
      <c r="C61" s="24">
        <f t="shared" ref="C61:AK61" si="32">C53*C58*C59</f>
        <v>0</v>
      </c>
      <c r="D61" s="24">
        <f t="shared" si="32"/>
        <v>0</v>
      </c>
      <c r="E61" s="24">
        <f t="shared" si="32"/>
        <v>0</v>
      </c>
      <c r="F61" s="24">
        <f t="shared" si="32"/>
        <v>0</v>
      </c>
      <c r="G61" s="24">
        <f t="shared" si="32"/>
        <v>0</v>
      </c>
      <c r="H61" s="24">
        <f t="shared" si="32"/>
        <v>0</v>
      </c>
      <c r="I61" s="24">
        <f t="shared" si="32"/>
        <v>0</v>
      </c>
      <c r="J61" s="24">
        <f t="shared" si="32"/>
        <v>0</v>
      </c>
      <c r="K61" s="24">
        <f t="shared" si="32"/>
        <v>0</v>
      </c>
      <c r="L61" s="24">
        <f t="shared" si="32"/>
        <v>0</v>
      </c>
      <c r="M61" s="24">
        <f t="shared" si="32"/>
        <v>0</v>
      </c>
      <c r="N61" s="24">
        <f t="shared" si="32"/>
        <v>0</v>
      </c>
      <c r="O61" s="24">
        <f t="shared" si="32"/>
        <v>0</v>
      </c>
      <c r="P61" s="24">
        <f t="shared" si="32"/>
        <v>0</v>
      </c>
      <c r="Q61" s="24">
        <f t="shared" si="32"/>
        <v>0</v>
      </c>
      <c r="R61" s="24">
        <f t="shared" si="32"/>
        <v>0</v>
      </c>
      <c r="S61" s="24">
        <f t="shared" si="32"/>
        <v>0</v>
      </c>
      <c r="T61" s="24">
        <f t="shared" si="32"/>
        <v>0</v>
      </c>
      <c r="U61" s="24">
        <f t="shared" si="32"/>
        <v>0</v>
      </c>
      <c r="V61" s="24">
        <f t="shared" si="32"/>
        <v>0</v>
      </c>
      <c r="W61" s="24">
        <f t="shared" si="32"/>
        <v>0</v>
      </c>
      <c r="X61" s="24">
        <f t="shared" si="32"/>
        <v>0</v>
      </c>
      <c r="Y61" s="24">
        <f t="shared" si="32"/>
        <v>0</v>
      </c>
      <c r="Z61" s="24">
        <f t="shared" si="32"/>
        <v>0</v>
      </c>
      <c r="AA61" s="24">
        <f t="shared" si="32"/>
        <v>0</v>
      </c>
      <c r="AB61" s="24">
        <f t="shared" si="32"/>
        <v>0</v>
      </c>
      <c r="AC61" s="24">
        <f t="shared" si="32"/>
        <v>0</v>
      </c>
      <c r="AD61" s="24">
        <f t="shared" si="32"/>
        <v>0</v>
      </c>
      <c r="AE61" s="24">
        <f t="shared" si="32"/>
        <v>0</v>
      </c>
      <c r="AF61" s="24">
        <f t="shared" si="32"/>
        <v>0</v>
      </c>
      <c r="AG61" s="24">
        <f t="shared" si="32"/>
        <v>0</v>
      </c>
      <c r="AH61" s="24">
        <f t="shared" si="32"/>
        <v>0</v>
      </c>
      <c r="AI61" s="24">
        <f t="shared" si="32"/>
        <v>0</v>
      </c>
      <c r="AJ61" s="24">
        <f t="shared" si="32"/>
        <v>0</v>
      </c>
      <c r="AK61" s="24">
        <f t="shared" si="32"/>
        <v>0</v>
      </c>
    </row>
    <row r="62" spans="1:37" x14ac:dyDescent="0.25">
      <c r="A62" s="3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x14ac:dyDescent="0.25">
      <c r="A63" s="37" t="s">
        <v>197</v>
      </c>
      <c r="B63" s="44">
        <v>2</v>
      </c>
      <c r="C63" s="44">
        <v>2</v>
      </c>
      <c r="D63" s="44">
        <v>2</v>
      </c>
      <c r="E63" s="44">
        <v>2</v>
      </c>
      <c r="F63" s="44">
        <v>2</v>
      </c>
      <c r="G63" s="44">
        <v>2</v>
      </c>
      <c r="H63" s="44">
        <v>2</v>
      </c>
      <c r="I63" s="44">
        <v>2</v>
      </c>
      <c r="J63" s="44">
        <v>2</v>
      </c>
      <c r="K63" s="44">
        <v>2</v>
      </c>
      <c r="L63" s="44">
        <v>2</v>
      </c>
      <c r="M63" s="44">
        <v>2</v>
      </c>
      <c r="N63" s="44">
        <v>2</v>
      </c>
      <c r="O63" s="44">
        <v>2</v>
      </c>
      <c r="P63" s="44">
        <v>2</v>
      </c>
      <c r="Q63" s="44">
        <v>2</v>
      </c>
      <c r="R63" s="44">
        <v>2</v>
      </c>
      <c r="S63" s="44">
        <v>2</v>
      </c>
      <c r="T63" s="44">
        <v>2</v>
      </c>
      <c r="U63" s="44">
        <v>2</v>
      </c>
      <c r="V63" s="44">
        <v>2</v>
      </c>
      <c r="W63" s="44">
        <v>2</v>
      </c>
      <c r="X63" s="44">
        <v>2</v>
      </c>
      <c r="Y63" s="44">
        <v>2</v>
      </c>
      <c r="Z63" s="44">
        <v>2</v>
      </c>
      <c r="AA63" s="44">
        <v>2</v>
      </c>
      <c r="AB63" s="44">
        <v>2</v>
      </c>
      <c r="AC63" s="44">
        <v>2</v>
      </c>
      <c r="AD63" s="44">
        <v>2</v>
      </c>
      <c r="AE63" s="44">
        <v>2</v>
      </c>
      <c r="AF63" s="44">
        <v>2</v>
      </c>
      <c r="AG63" s="44">
        <v>2</v>
      </c>
      <c r="AH63" s="44">
        <v>2</v>
      </c>
      <c r="AI63" s="44">
        <v>2</v>
      </c>
      <c r="AJ63" s="44">
        <v>2</v>
      </c>
      <c r="AK63" s="44">
        <v>2</v>
      </c>
    </row>
    <row r="64" spans="1:37" x14ac:dyDescent="0.25">
      <c r="A64" s="37" t="s">
        <v>198</v>
      </c>
      <c r="B64" s="44">
        <v>1</v>
      </c>
      <c r="C64" s="44">
        <v>1</v>
      </c>
      <c r="D64" s="44">
        <v>1</v>
      </c>
      <c r="E64" s="44">
        <v>1</v>
      </c>
      <c r="F64" s="44">
        <v>1</v>
      </c>
      <c r="G64" s="44">
        <v>1</v>
      </c>
      <c r="H64" s="44">
        <v>2</v>
      </c>
      <c r="I64" s="44">
        <v>2</v>
      </c>
      <c r="J64" s="44">
        <v>2</v>
      </c>
      <c r="K64" s="44">
        <v>2</v>
      </c>
      <c r="L64" s="44">
        <v>2</v>
      </c>
      <c r="M64" s="44">
        <v>2</v>
      </c>
      <c r="N64" s="44">
        <v>2</v>
      </c>
      <c r="O64" s="44">
        <v>2</v>
      </c>
      <c r="P64" s="44">
        <v>2</v>
      </c>
      <c r="Q64" s="44">
        <v>2</v>
      </c>
      <c r="R64" s="44">
        <v>2</v>
      </c>
      <c r="S64" s="44">
        <v>2</v>
      </c>
      <c r="T64" s="44">
        <v>2</v>
      </c>
      <c r="U64" s="44">
        <v>2</v>
      </c>
      <c r="V64" s="44">
        <v>2</v>
      </c>
      <c r="W64" s="44">
        <v>2</v>
      </c>
      <c r="X64" s="44">
        <v>2</v>
      </c>
      <c r="Y64" s="44">
        <v>2</v>
      </c>
      <c r="Z64" s="44">
        <v>2</v>
      </c>
      <c r="AA64" s="44">
        <v>2</v>
      </c>
      <c r="AB64" s="44">
        <v>2</v>
      </c>
      <c r="AC64" s="44">
        <v>2</v>
      </c>
      <c r="AD64" s="44">
        <v>2</v>
      </c>
      <c r="AE64" s="44">
        <v>2</v>
      </c>
      <c r="AF64" s="44">
        <v>2</v>
      </c>
      <c r="AG64" s="44">
        <v>2</v>
      </c>
      <c r="AH64" s="44">
        <v>2</v>
      </c>
      <c r="AI64" s="44">
        <v>2</v>
      </c>
      <c r="AJ64" s="44">
        <v>2</v>
      </c>
      <c r="AK64" s="44">
        <v>2</v>
      </c>
    </row>
    <row r="65" spans="1:37" x14ac:dyDescent="0.25">
      <c r="A65" s="37" t="s">
        <v>199</v>
      </c>
      <c r="B65" s="25">
        <v>450</v>
      </c>
      <c r="C65" s="24">
        <f>B65*(1+B66)</f>
        <v>454.5</v>
      </c>
      <c r="D65" s="24">
        <f t="shared" ref="D65:AK65" si="33">C65*(1+C66)</f>
        <v>459.04500000000002</v>
      </c>
      <c r="E65" s="24">
        <f t="shared" si="33"/>
        <v>463.63545000000005</v>
      </c>
      <c r="F65" s="24">
        <f t="shared" si="33"/>
        <v>468.27180450000003</v>
      </c>
      <c r="G65" s="24">
        <f t="shared" si="33"/>
        <v>472.95452254500003</v>
      </c>
      <c r="H65" s="24">
        <f t="shared" si="33"/>
        <v>477.68406777045004</v>
      </c>
      <c r="I65" s="24">
        <f t="shared" si="33"/>
        <v>477.68406777045004</v>
      </c>
      <c r="J65" s="24">
        <f t="shared" si="33"/>
        <v>477.68406777045004</v>
      </c>
      <c r="K65" s="24">
        <f t="shared" si="33"/>
        <v>477.68406777045004</v>
      </c>
      <c r="L65" s="24">
        <f t="shared" si="33"/>
        <v>477.68406777045004</v>
      </c>
      <c r="M65" s="24">
        <f t="shared" si="33"/>
        <v>477.68406777045004</v>
      </c>
      <c r="N65" s="24">
        <f t="shared" si="33"/>
        <v>477.68406777045004</v>
      </c>
      <c r="O65" s="24">
        <f t="shared" si="33"/>
        <v>477.68406777045004</v>
      </c>
      <c r="P65" s="24">
        <f t="shared" si="33"/>
        <v>477.68406777045004</v>
      </c>
      <c r="Q65" s="24">
        <f t="shared" si="33"/>
        <v>477.68406777045004</v>
      </c>
      <c r="R65" s="24">
        <f t="shared" si="33"/>
        <v>477.68406777045004</v>
      </c>
      <c r="S65" s="24">
        <f t="shared" si="33"/>
        <v>477.68406777045004</v>
      </c>
      <c r="T65" s="24">
        <f t="shared" si="33"/>
        <v>477.68406777045004</v>
      </c>
      <c r="U65" s="24">
        <f t="shared" si="33"/>
        <v>477.68406777045004</v>
      </c>
      <c r="V65" s="24">
        <f t="shared" si="33"/>
        <v>477.68406777045004</v>
      </c>
      <c r="W65" s="24">
        <f t="shared" si="33"/>
        <v>477.68406777045004</v>
      </c>
      <c r="X65" s="24">
        <f t="shared" si="33"/>
        <v>477.68406777045004</v>
      </c>
      <c r="Y65" s="24">
        <f t="shared" si="33"/>
        <v>477.68406777045004</v>
      </c>
      <c r="Z65" s="24">
        <f t="shared" si="33"/>
        <v>477.68406777045004</v>
      </c>
      <c r="AA65" s="24">
        <f t="shared" si="33"/>
        <v>477.68406777045004</v>
      </c>
      <c r="AB65" s="24">
        <f t="shared" si="33"/>
        <v>477.68406777045004</v>
      </c>
      <c r="AC65" s="24">
        <f t="shared" si="33"/>
        <v>477.68406777045004</v>
      </c>
      <c r="AD65" s="24">
        <f t="shared" si="33"/>
        <v>477.68406777045004</v>
      </c>
      <c r="AE65" s="24">
        <f t="shared" si="33"/>
        <v>477.68406777045004</v>
      </c>
      <c r="AF65" s="24">
        <f t="shared" si="33"/>
        <v>477.68406777045004</v>
      </c>
      <c r="AG65" s="24">
        <f t="shared" si="33"/>
        <v>477.68406777045004</v>
      </c>
      <c r="AH65" s="24">
        <f t="shared" si="33"/>
        <v>477.68406777045004</v>
      </c>
      <c r="AI65" s="24">
        <f t="shared" si="33"/>
        <v>477.68406777045004</v>
      </c>
      <c r="AJ65" s="24">
        <f t="shared" si="33"/>
        <v>477.68406777045004</v>
      </c>
      <c r="AK65" s="24">
        <f t="shared" si="33"/>
        <v>477.68406777045004</v>
      </c>
    </row>
    <row r="66" spans="1:37" x14ac:dyDescent="0.25">
      <c r="A66" t="s">
        <v>168</v>
      </c>
      <c r="B66" s="22">
        <v>0.01</v>
      </c>
      <c r="C66" s="22">
        <v>0.01</v>
      </c>
      <c r="D66" s="22">
        <v>0.01</v>
      </c>
      <c r="E66" s="22">
        <v>0.01</v>
      </c>
      <c r="F66" s="22">
        <v>0.01</v>
      </c>
      <c r="G66" s="22">
        <v>0.01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</row>
    <row r="67" spans="1:37" x14ac:dyDescent="0.25">
      <c r="A67" s="37" t="s">
        <v>200</v>
      </c>
      <c r="B67" s="24">
        <f>B64*B65</f>
        <v>450</v>
      </c>
      <c r="C67" s="24">
        <f t="shared" ref="C67:AK67" si="34">C64*C65</f>
        <v>454.5</v>
      </c>
      <c r="D67" s="24">
        <f t="shared" si="34"/>
        <v>459.04500000000002</v>
      </c>
      <c r="E67" s="24">
        <f t="shared" si="34"/>
        <v>463.63545000000005</v>
      </c>
      <c r="F67" s="24">
        <f t="shared" si="34"/>
        <v>468.27180450000003</v>
      </c>
      <c r="G67" s="24">
        <f t="shared" si="34"/>
        <v>472.95452254500003</v>
      </c>
      <c r="H67" s="24">
        <f t="shared" si="34"/>
        <v>955.36813554090008</v>
      </c>
      <c r="I67" s="24">
        <f t="shared" si="34"/>
        <v>955.36813554090008</v>
      </c>
      <c r="J67" s="24">
        <f t="shared" si="34"/>
        <v>955.36813554090008</v>
      </c>
      <c r="K67" s="24">
        <f t="shared" si="34"/>
        <v>955.36813554090008</v>
      </c>
      <c r="L67" s="24">
        <f t="shared" si="34"/>
        <v>955.36813554090008</v>
      </c>
      <c r="M67" s="24">
        <f t="shared" si="34"/>
        <v>955.36813554090008</v>
      </c>
      <c r="N67" s="24">
        <f t="shared" si="34"/>
        <v>955.36813554090008</v>
      </c>
      <c r="O67" s="24">
        <f t="shared" si="34"/>
        <v>955.36813554090008</v>
      </c>
      <c r="P67" s="24">
        <f t="shared" si="34"/>
        <v>955.36813554090008</v>
      </c>
      <c r="Q67" s="24">
        <f t="shared" si="34"/>
        <v>955.36813554090008</v>
      </c>
      <c r="R67" s="24">
        <f t="shared" si="34"/>
        <v>955.36813554090008</v>
      </c>
      <c r="S67" s="24">
        <f t="shared" si="34"/>
        <v>955.36813554090008</v>
      </c>
      <c r="T67" s="24">
        <f t="shared" si="34"/>
        <v>955.36813554090008</v>
      </c>
      <c r="U67" s="24">
        <f t="shared" si="34"/>
        <v>955.36813554090008</v>
      </c>
      <c r="V67" s="24">
        <f t="shared" si="34"/>
        <v>955.36813554090008</v>
      </c>
      <c r="W67" s="24">
        <f t="shared" si="34"/>
        <v>955.36813554090008</v>
      </c>
      <c r="X67" s="24">
        <f t="shared" si="34"/>
        <v>955.36813554090008</v>
      </c>
      <c r="Y67" s="24">
        <f t="shared" si="34"/>
        <v>955.36813554090008</v>
      </c>
      <c r="Z67" s="24">
        <f t="shared" si="34"/>
        <v>955.36813554090008</v>
      </c>
      <c r="AA67" s="24">
        <f t="shared" si="34"/>
        <v>955.36813554090008</v>
      </c>
      <c r="AB67" s="24">
        <f t="shared" si="34"/>
        <v>955.36813554090008</v>
      </c>
      <c r="AC67" s="24">
        <f t="shared" si="34"/>
        <v>955.36813554090008</v>
      </c>
      <c r="AD67" s="24">
        <f t="shared" si="34"/>
        <v>955.36813554090008</v>
      </c>
      <c r="AE67" s="24">
        <f t="shared" si="34"/>
        <v>955.36813554090008</v>
      </c>
      <c r="AF67" s="24">
        <f t="shared" si="34"/>
        <v>955.36813554090008</v>
      </c>
      <c r="AG67" s="24">
        <f t="shared" si="34"/>
        <v>955.36813554090008</v>
      </c>
      <c r="AH67" s="24">
        <f t="shared" si="34"/>
        <v>955.36813554090008</v>
      </c>
      <c r="AI67" s="24">
        <f t="shared" si="34"/>
        <v>955.36813554090008</v>
      </c>
      <c r="AJ67" s="24">
        <f t="shared" si="34"/>
        <v>955.36813554090008</v>
      </c>
      <c r="AK67" s="24">
        <f t="shared" si="34"/>
        <v>955.36813554090008</v>
      </c>
    </row>
    <row r="68" spans="1:37" x14ac:dyDescent="0.25">
      <c r="A68" s="37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x14ac:dyDescent="0.25">
      <c r="A69" s="37" t="s">
        <v>209</v>
      </c>
      <c r="B69" s="25">
        <v>10</v>
      </c>
      <c r="C69" s="24">
        <f>B69*(1+B70)</f>
        <v>10.3</v>
      </c>
      <c r="D69" s="24">
        <f t="shared" ref="D69:AK69" si="35">C69*(1+C70)</f>
        <v>10.609000000000002</v>
      </c>
      <c r="E69" s="24">
        <f t="shared" si="35"/>
        <v>10.927270000000002</v>
      </c>
      <c r="F69" s="24">
        <f t="shared" si="35"/>
        <v>11.255088100000002</v>
      </c>
      <c r="G69" s="24">
        <f t="shared" si="35"/>
        <v>11.592740743000002</v>
      </c>
      <c r="H69" s="24">
        <f t="shared" si="35"/>
        <v>11.940522965290002</v>
      </c>
      <c r="I69" s="24">
        <f t="shared" si="35"/>
        <v>12.298738654248703</v>
      </c>
      <c r="J69" s="24">
        <f t="shared" si="35"/>
        <v>12.667700813876165</v>
      </c>
      <c r="K69" s="24">
        <f t="shared" si="35"/>
        <v>13.047731838292449</v>
      </c>
      <c r="L69" s="24">
        <f t="shared" si="35"/>
        <v>13.439163793441223</v>
      </c>
      <c r="M69" s="24">
        <f t="shared" si="35"/>
        <v>13.84233870724446</v>
      </c>
      <c r="N69" s="24">
        <f t="shared" si="35"/>
        <v>14.257608868461794</v>
      </c>
      <c r="O69" s="24">
        <f t="shared" si="35"/>
        <v>14.685337134515649</v>
      </c>
      <c r="P69" s="24">
        <f t="shared" si="35"/>
        <v>15.125897248551119</v>
      </c>
      <c r="Q69" s="24">
        <f t="shared" si="35"/>
        <v>15.579674166007653</v>
      </c>
      <c r="R69" s="24">
        <f t="shared" si="35"/>
        <v>16.047064390987885</v>
      </c>
      <c r="S69" s="24">
        <f t="shared" si="35"/>
        <v>16.52847632271752</v>
      </c>
      <c r="T69" s="24">
        <f t="shared" si="35"/>
        <v>17.024330612399044</v>
      </c>
      <c r="U69" s="24">
        <f t="shared" si="35"/>
        <v>17.535060530771016</v>
      </c>
      <c r="V69" s="24">
        <f t="shared" si="35"/>
        <v>18.061112346694149</v>
      </c>
      <c r="W69" s="24">
        <f t="shared" si="35"/>
        <v>18.602945717094972</v>
      </c>
      <c r="X69" s="24">
        <f t="shared" si="35"/>
        <v>19.161034088607821</v>
      </c>
      <c r="Y69" s="24">
        <f t="shared" si="35"/>
        <v>19.735865111266055</v>
      </c>
      <c r="Z69" s="24">
        <f t="shared" si="35"/>
        <v>20.327941064604037</v>
      </c>
      <c r="AA69" s="24">
        <f t="shared" si="35"/>
        <v>20.937779296542157</v>
      </c>
      <c r="AB69" s="24">
        <f t="shared" si="35"/>
        <v>21.565912675438422</v>
      </c>
      <c r="AC69" s="24">
        <f t="shared" si="35"/>
        <v>22.212890055701575</v>
      </c>
      <c r="AD69" s="24">
        <f t="shared" si="35"/>
        <v>22.879276757372622</v>
      </c>
      <c r="AE69" s="24">
        <f t="shared" si="35"/>
        <v>23.565655060093803</v>
      </c>
      <c r="AF69" s="24">
        <f t="shared" si="35"/>
        <v>24.272624711896619</v>
      </c>
      <c r="AG69" s="24">
        <f t="shared" si="35"/>
        <v>25.000803453253518</v>
      </c>
      <c r="AH69" s="24">
        <f t="shared" si="35"/>
        <v>25.750827556851124</v>
      </c>
      <c r="AI69" s="24">
        <f t="shared" si="35"/>
        <v>26.523352383556659</v>
      </c>
      <c r="AJ69" s="24">
        <f t="shared" si="35"/>
        <v>27.319052955063359</v>
      </c>
      <c r="AK69" s="24">
        <f t="shared" si="35"/>
        <v>28.13862454371526</v>
      </c>
    </row>
    <row r="70" spans="1:37" x14ac:dyDescent="0.25">
      <c r="A70" t="s">
        <v>168</v>
      </c>
      <c r="B70" s="22">
        <v>0.03</v>
      </c>
      <c r="C70" s="22">
        <v>0.03</v>
      </c>
      <c r="D70" s="22">
        <v>0.03</v>
      </c>
      <c r="E70" s="22">
        <v>0.03</v>
      </c>
      <c r="F70" s="22">
        <v>0.03</v>
      </c>
      <c r="G70" s="22">
        <v>0.03</v>
      </c>
      <c r="H70" s="22">
        <v>0.03</v>
      </c>
      <c r="I70" s="22">
        <v>0.03</v>
      </c>
      <c r="J70" s="22">
        <v>0.03</v>
      </c>
      <c r="K70" s="22">
        <v>0.03</v>
      </c>
      <c r="L70" s="22">
        <v>0.03</v>
      </c>
      <c r="M70" s="22">
        <v>0.03</v>
      </c>
      <c r="N70" s="22">
        <v>0.03</v>
      </c>
      <c r="O70" s="22">
        <v>0.03</v>
      </c>
      <c r="P70" s="22">
        <v>0.03</v>
      </c>
      <c r="Q70" s="22">
        <v>0.03</v>
      </c>
      <c r="R70" s="22">
        <v>0.03</v>
      </c>
      <c r="S70" s="22">
        <v>0.03</v>
      </c>
      <c r="T70" s="22">
        <v>0.03</v>
      </c>
      <c r="U70" s="22">
        <v>0.03</v>
      </c>
      <c r="V70" s="22">
        <v>0.03</v>
      </c>
      <c r="W70" s="22">
        <v>0.03</v>
      </c>
      <c r="X70" s="22">
        <v>0.03</v>
      </c>
      <c r="Y70" s="22">
        <v>0.03</v>
      </c>
      <c r="Z70" s="22">
        <v>0.03</v>
      </c>
      <c r="AA70" s="22">
        <v>0.03</v>
      </c>
      <c r="AB70" s="22">
        <v>0.03</v>
      </c>
      <c r="AC70" s="22">
        <v>0.03</v>
      </c>
      <c r="AD70" s="22">
        <v>0.03</v>
      </c>
      <c r="AE70" s="22">
        <v>0.03</v>
      </c>
      <c r="AF70" s="22">
        <v>0.03</v>
      </c>
      <c r="AG70" s="22">
        <v>0.03</v>
      </c>
      <c r="AH70" s="22">
        <v>0.03</v>
      </c>
      <c r="AI70" s="22">
        <v>0.03</v>
      </c>
      <c r="AJ70" s="22">
        <v>0.03</v>
      </c>
      <c r="AK70" s="22">
        <v>0.03</v>
      </c>
    </row>
    <row r="71" spans="1:37" x14ac:dyDescent="0.25">
      <c r="A71" t="s">
        <v>210</v>
      </c>
      <c r="B71" s="29">
        <f>B69*B22</f>
        <v>37.5</v>
      </c>
      <c r="C71" s="29">
        <f t="shared" ref="C71:AK71" si="36">C69*C22</f>
        <v>75.795119850000006</v>
      </c>
      <c r="D71" s="29">
        <f t="shared" si="36"/>
        <v>116.24657526112978</v>
      </c>
      <c r="E71" s="29">
        <f t="shared" si="36"/>
        <v>160.21723265796376</v>
      </c>
      <c r="F71" s="29">
        <f t="shared" si="36"/>
        <v>209.13759810991931</v>
      </c>
      <c r="G71" s="29">
        <f t="shared" si="36"/>
        <v>264.56971482320654</v>
      </c>
      <c r="H71" s="29">
        <f t="shared" si="36"/>
        <v>328.27313259045906</v>
      </c>
      <c r="I71" s="29">
        <f t="shared" si="36"/>
        <v>402.27686358296523</v>
      </c>
      <c r="J71" s="29">
        <f t="shared" si="36"/>
        <v>485.22271659087249</v>
      </c>
      <c r="K71" s="29">
        <f t="shared" si="36"/>
        <v>578.54623657626371</v>
      </c>
      <c r="L71" s="29">
        <f t="shared" si="36"/>
        <v>683.88336546327685</v>
      </c>
      <c r="M71" s="29">
        <f t="shared" si="36"/>
        <v>803.10038167193159</v>
      </c>
      <c r="N71" s="29">
        <f t="shared" si="36"/>
        <v>938.32817256894964</v>
      </c>
      <c r="O71" s="29">
        <f t="shared" si="36"/>
        <v>1092.0014773876919</v>
      </c>
      <c r="P71" s="29">
        <f t="shared" si="36"/>
        <v>1266.9038313535812</v>
      </c>
      <c r="Q71" s="29">
        <f t="shared" si="36"/>
        <v>1466.2190486182624</v>
      </c>
      <c r="R71" s="29">
        <f t="shared" si="36"/>
        <v>1693.5902041627619</v>
      </c>
      <c r="S71" s="29">
        <f t="shared" si="36"/>
        <v>1953.187215379688</v>
      </c>
      <c r="T71" s="29">
        <f t="shared" si="36"/>
        <v>2249.7842852281415</v>
      </c>
      <c r="U71" s="29">
        <f t="shared" si="36"/>
        <v>2588.8486537019153</v>
      </c>
      <c r="V71" s="29">
        <f t="shared" si="36"/>
        <v>2976.6423163366157</v>
      </c>
      <c r="W71" s="29">
        <f t="shared" si="36"/>
        <v>3420.3386115903354</v>
      </c>
      <c r="X71" s="29">
        <f t="shared" si="36"/>
        <v>3928.1558577375727</v>
      </c>
      <c r="Y71" s="29">
        <f t="shared" si="36"/>
        <v>4509.5105396616673</v>
      </c>
      <c r="Z71" s="29">
        <f t="shared" si="36"/>
        <v>5175.1929126332898</v>
      </c>
      <c r="AA71" s="29">
        <f t="shared" si="36"/>
        <v>5937.5683107225559</v>
      </c>
      <c r="AB71" s="29">
        <f t="shared" si="36"/>
        <v>6810.8079298269095</v>
      </c>
      <c r="AC71" s="29">
        <f t="shared" si="36"/>
        <v>7811.1534084876857</v>
      </c>
      <c r="AD71" s="29">
        <f t="shared" si="36"/>
        <v>8957.2201641338161</v>
      </c>
      <c r="AE71" s="29">
        <f t="shared" si="36"/>
        <v>10270.345170083458</v>
      </c>
      <c r="AF71" s="29">
        <f t="shared" si="36"/>
        <v>11774.985693265406</v>
      </c>
      <c r="AG71" s="29">
        <f t="shared" si="36"/>
        <v>13499.176469922855</v>
      </c>
      <c r="AH71" s="29">
        <f t="shared" si="36"/>
        <v>15475.053894579858</v>
      </c>
      <c r="AI71" s="29">
        <f t="shared" si="36"/>
        <v>17739.457056991934</v>
      </c>
      <c r="AJ71" s="29">
        <f t="shared" si="36"/>
        <v>20334.616906422441</v>
      </c>
      <c r="AK71" s="29">
        <f t="shared" si="36"/>
        <v>23308.946479642265</v>
      </c>
    </row>
    <row r="72" spans="1:37" x14ac:dyDescent="0.25">
      <c r="A72" s="37" t="s">
        <v>201</v>
      </c>
      <c r="B72" s="46">
        <v>0.6</v>
      </c>
      <c r="C72" s="28">
        <f>B72*(1+B73)</f>
        <v>0.59399999999999997</v>
      </c>
      <c r="D72" s="28">
        <f t="shared" ref="D72:AK72" si="37">C72*(1+C73)</f>
        <v>0.58805999999999992</v>
      </c>
      <c r="E72" s="28">
        <f t="shared" si="37"/>
        <v>0.5821793999999999</v>
      </c>
      <c r="F72" s="28">
        <f t="shared" si="37"/>
        <v>0.57635760599999986</v>
      </c>
      <c r="G72" s="28">
        <f t="shared" si="37"/>
        <v>0.57059402993999986</v>
      </c>
      <c r="H72" s="28">
        <f t="shared" si="37"/>
        <v>0.56488808964059989</v>
      </c>
      <c r="I72" s="28">
        <f t="shared" si="37"/>
        <v>0.55923920874419386</v>
      </c>
      <c r="J72" s="28">
        <f t="shared" si="37"/>
        <v>0.55364681665675197</v>
      </c>
      <c r="K72" s="28">
        <f t="shared" si="37"/>
        <v>0.54811034849018447</v>
      </c>
      <c r="L72" s="28">
        <f t="shared" si="37"/>
        <v>0.54262924500528265</v>
      </c>
      <c r="M72" s="28">
        <f t="shared" si="37"/>
        <v>0.53720295255522976</v>
      </c>
      <c r="N72" s="28">
        <f t="shared" si="37"/>
        <v>0.53183092302967749</v>
      </c>
      <c r="O72" s="28">
        <f t="shared" si="37"/>
        <v>0.52651261379938075</v>
      </c>
      <c r="P72" s="28">
        <f t="shared" si="37"/>
        <v>0.52124748766138695</v>
      </c>
      <c r="Q72" s="28">
        <f t="shared" si="37"/>
        <v>0.51603501278477304</v>
      </c>
      <c r="R72" s="28">
        <f t="shared" si="37"/>
        <v>0.51087466265692527</v>
      </c>
      <c r="S72" s="28">
        <f t="shared" si="37"/>
        <v>0.50576591603035603</v>
      </c>
      <c r="T72" s="28">
        <f t="shared" si="37"/>
        <v>0.50070825687005249</v>
      </c>
      <c r="U72" s="28">
        <f t="shared" si="37"/>
        <v>0.49570117430135197</v>
      </c>
      <c r="V72" s="28">
        <f t="shared" si="37"/>
        <v>0.49074416255833841</v>
      </c>
      <c r="W72" s="28">
        <f t="shared" si="37"/>
        <v>0.48583672093275504</v>
      </c>
      <c r="X72" s="28">
        <f t="shared" si="37"/>
        <v>0.48097835372342751</v>
      </c>
      <c r="Y72" s="28">
        <f t="shared" si="37"/>
        <v>0.47616857018619324</v>
      </c>
      <c r="Z72" s="28">
        <f t="shared" si="37"/>
        <v>0.47140688448433132</v>
      </c>
      <c r="AA72" s="28">
        <f t="shared" si="37"/>
        <v>0.466692815639488</v>
      </c>
      <c r="AB72" s="28">
        <f t="shared" si="37"/>
        <v>0.46202588748309309</v>
      </c>
      <c r="AC72" s="28">
        <f t="shared" si="37"/>
        <v>0.45740562860826217</v>
      </c>
      <c r="AD72" s="28">
        <f t="shared" si="37"/>
        <v>0.45283157232217952</v>
      </c>
      <c r="AE72" s="28">
        <f t="shared" si="37"/>
        <v>0.4483032565989577</v>
      </c>
      <c r="AF72" s="28">
        <f t="shared" si="37"/>
        <v>0.44382022403296811</v>
      </c>
      <c r="AG72" s="28">
        <f t="shared" si="37"/>
        <v>0.43938202179263841</v>
      </c>
      <c r="AH72" s="28">
        <f t="shared" si="37"/>
        <v>0.43498820157471202</v>
      </c>
      <c r="AI72" s="28">
        <f t="shared" si="37"/>
        <v>0.43063831955896492</v>
      </c>
      <c r="AJ72" s="28">
        <f t="shared" si="37"/>
        <v>0.42633193636337524</v>
      </c>
      <c r="AK72" s="28">
        <f t="shared" si="37"/>
        <v>0.42206861699974146</v>
      </c>
    </row>
    <row r="73" spans="1:37" x14ac:dyDescent="0.25">
      <c r="A73" t="s">
        <v>168</v>
      </c>
      <c r="B73" s="22">
        <v>-0.01</v>
      </c>
      <c r="C73" s="22">
        <v>-0.01</v>
      </c>
      <c r="D73" s="22">
        <v>-0.01</v>
      </c>
      <c r="E73" s="22">
        <v>-0.01</v>
      </c>
      <c r="F73" s="22">
        <v>-0.01</v>
      </c>
      <c r="G73" s="22">
        <v>-0.01</v>
      </c>
      <c r="H73" s="22">
        <v>-0.01</v>
      </c>
      <c r="I73" s="22">
        <v>-0.01</v>
      </c>
      <c r="J73" s="22">
        <v>-0.01</v>
      </c>
      <c r="K73" s="22">
        <v>-0.01</v>
      </c>
      <c r="L73" s="22">
        <v>-0.01</v>
      </c>
      <c r="M73" s="22">
        <v>-0.01</v>
      </c>
      <c r="N73" s="22">
        <v>-0.01</v>
      </c>
      <c r="O73" s="22">
        <v>-0.01</v>
      </c>
      <c r="P73" s="22">
        <v>-0.01</v>
      </c>
      <c r="Q73" s="22">
        <v>-0.01</v>
      </c>
      <c r="R73" s="22">
        <v>-0.01</v>
      </c>
      <c r="S73" s="22">
        <v>-0.01</v>
      </c>
      <c r="T73" s="22">
        <v>-0.01</v>
      </c>
      <c r="U73" s="22">
        <v>-0.01</v>
      </c>
      <c r="V73" s="22">
        <v>-0.01</v>
      </c>
      <c r="W73" s="22">
        <v>-0.01</v>
      </c>
      <c r="X73" s="22">
        <v>-0.01</v>
      </c>
      <c r="Y73" s="22">
        <v>-0.01</v>
      </c>
      <c r="Z73" s="22">
        <v>-0.01</v>
      </c>
      <c r="AA73" s="22">
        <v>-0.01</v>
      </c>
      <c r="AB73" s="22">
        <v>-0.01</v>
      </c>
      <c r="AC73" s="22">
        <v>-0.01</v>
      </c>
      <c r="AD73" s="22">
        <v>-0.01</v>
      </c>
      <c r="AE73" s="22">
        <v>-0.01</v>
      </c>
      <c r="AF73" s="22">
        <v>-0.01</v>
      </c>
      <c r="AG73" s="22">
        <v>-0.01</v>
      </c>
      <c r="AH73" s="22">
        <v>-0.01</v>
      </c>
      <c r="AI73" s="22">
        <v>-0.01</v>
      </c>
      <c r="AJ73" s="22">
        <v>-0.01</v>
      </c>
      <c r="AK73" s="22">
        <v>-0.01</v>
      </c>
    </row>
    <row r="74" spans="1:37" x14ac:dyDescent="0.25">
      <c r="A74" s="37" t="s">
        <v>202</v>
      </c>
      <c r="B74" s="24">
        <f>B72*B71</f>
        <v>22.5</v>
      </c>
      <c r="C74" s="24">
        <f t="shared" ref="C74:AK74" si="38">C72*C71</f>
        <v>45.022301190900002</v>
      </c>
      <c r="D74" s="24">
        <f t="shared" si="38"/>
        <v>68.359961048059972</v>
      </c>
      <c r="E74" s="24">
        <f t="shared" si="38"/>
        <v>93.275172378473727</v>
      </c>
      <c r="F74" s="24">
        <f t="shared" si="38"/>
        <v>120.53804537122319</v>
      </c>
      <c r="G74" s="24">
        <f t="shared" si="38"/>
        <v>150.96189978104994</v>
      </c>
      <c r="H74" s="24">
        <f t="shared" si="38"/>
        <v>185.43758274935976</v>
      </c>
      <c r="I74" s="24">
        <f t="shared" si="38"/>
        <v>224.9689948862335</v>
      </c>
      <c r="J74" s="24">
        <f t="shared" si="38"/>
        <v>268.64201241007788</v>
      </c>
      <c r="K74" s="24">
        <f t="shared" si="38"/>
        <v>317.10717934750062</v>
      </c>
      <c r="L74" s="24">
        <f t="shared" si="38"/>
        <v>371.0951142730097</v>
      </c>
      <c r="M74" s="24">
        <f t="shared" si="38"/>
        <v>431.42789623239355</v>
      </c>
      <c r="N74" s="24">
        <f t="shared" si="38"/>
        <v>499.03193812209497</v>
      </c>
      <c r="O74" s="24">
        <f t="shared" si="38"/>
        <v>574.95255213217899</v>
      </c>
      <c r="P74" s="24">
        <f t="shared" si="38"/>
        <v>660.37043920163967</v>
      </c>
      <c r="Q74" s="24">
        <f t="shared" si="38"/>
        <v>756.62036549900279</v>
      </c>
      <c r="R74" s="24">
        <f t="shared" si="38"/>
        <v>865.21232423072422</v>
      </c>
      <c r="S74" s="24">
        <f t="shared" si="38"/>
        <v>987.85552116528822</v>
      </c>
      <c r="T74" s="24">
        <f t="shared" si="38"/>
        <v>1126.4855677902196</v>
      </c>
      <c r="U74" s="24">
        <f t="shared" si="38"/>
        <v>1283.2953177285135</v>
      </c>
      <c r="V74" s="24">
        <f t="shared" si="38"/>
        <v>1460.7698407663252</v>
      </c>
      <c r="W74" s="24">
        <f t="shared" si="38"/>
        <v>1661.7260955347406</v>
      </c>
      <c r="X74" s="24">
        <f t="shared" si="38"/>
        <v>1889.357937623656</v>
      </c>
      <c r="Y74" s="24">
        <f t="shared" si="38"/>
        <v>2147.2871859102647</v>
      </c>
      <c r="Z74" s="24">
        <f t="shared" si="38"/>
        <v>2439.6215675498515</v>
      </c>
      <c r="AA74" s="24">
        <f t="shared" si="38"/>
        <v>2771.0204729829079</v>
      </c>
      <c r="AB74" s="24">
        <f t="shared" si="38"/>
        <v>3146.7695782551659</v>
      </c>
      <c r="AC74" s="24">
        <f t="shared" si="38"/>
        <v>3572.8655349648798</v>
      </c>
      <c r="AD74" s="24">
        <f t="shared" si="38"/>
        <v>4056.1120905606467</v>
      </c>
      <c r="AE74" s="24">
        <f t="shared" si="38"/>
        <v>4604.2291861437898</v>
      </c>
      <c r="AF74" s="24">
        <f t="shared" si="38"/>
        <v>5225.976788370047</v>
      </c>
      <c r="AG74" s="24">
        <f t="shared" si="38"/>
        <v>5931.2954498903155</v>
      </c>
      <c r="AH74" s="24">
        <f t="shared" si="38"/>
        <v>6731.4658628750358</v>
      </c>
      <c r="AI74" s="24">
        <f t="shared" si="38"/>
        <v>7639.2899769114283</v>
      </c>
      <c r="AJ74" s="24">
        <f t="shared" si="38"/>
        <v>8669.2966009225074</v>
      </c>
      <c r="AK74" s="24">
        <f t="shared" si="38"/>
        <v>9837.9748043836025</v>
      </c>
    </row>
    <row r="75" spans="1:37" x14ac:dyDescent="0.25">
      <c r="A75" s="3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</row>
    <row r="76" spans="1:37" x14ac:dyDescent="0.25">
      <c r="A76" s="37" t="s">
        <v>214</v>
      </c>
      <c r="B76" s="44">
        <v>0.25</v>
      </c>
      <c r="C76" s="45">
        <f>B76*(1+B77)</f>
        <v>0.2525</v>
      </c>
      <c r="D76" s="45">
        <f t="shared" ref="D76:AK76" si="39">C76*(1+C77)</f>
        <v>0.255025</v>
      </c>
      <c r="E76" s="45">
        <f t="shared" si="39"/>
        <v>0.25757524999999998</v>
      </c>
      <c r="F76" s="45">
        <f t="shared" si="39"/>
        <v>0.26015100250000001</v>
      </c>
      <c r="G76" s="45">
        <f t="shared" si="39"/>
        <v>0.26275251252499998</v>
      </c>
      <c r="H76" s="45">
        <f t="shared" si="39"/>
        <v>0.26538003765024998</v>
      </c>
      <c r="I76" s="45">
        <f t="shared" si="39"/>
        <v>0.26803383802675246</v>
      </c>
      <c r="J76" s="45">
        <f t="shared" si="39"/>
        <v>0.27071417640702</v>
      </c>
      <c r="K76" s="45">
        <f t="shared" si="39"/>
        <v>0.27342131817109022</v>
      </c>
      <c r="L76" s="45">
        <f t="shared" si="39"/>
        <v>0.27615553135280113</v>
      </c>
      <c r="M76" s="45">
        <f t="shared" si="39"/>
        <v>0.27891708666632914</v>
      </c>
      <c r="N76" s="45">
        <f t="shared" si="39"/>
        <v>0.28170625753299244</v>
      </c>
      <c r="O76" s="45">
        <f t="shared" si="39"/>
        <v>0.28452332010832238</v>
      </c>
      <c r="P76" s="45">
        <f t="shared" si="39"/>
        <v>0.28736855330940558</v>
      </c>
      <c r="Q76" s="45">
        <f t="shared" si="39"/>
        <v>0.29024223884249967</v>
      </c>
      <c r="R76" s="45">
        <f t="shared" si="39"/>
        <v>0.29314466123092464</v>
      </c>
      <c r="S76" s="45">
        <f t="shared" si="39"/>
        <v>0.2960761078432339</v>
      </c>
      <c r="T76" s="45">
        <f t="shared" si="39"/>
        <v>0.29903686892166625</v>
      </c>
      <c r="U76" s="45">
        <f t="shared" si="39"/>
        <v>0.3020272376108829</v>
      </c>
      <c r="V76" s="45">
        <f t="shared" si="39"/>
        <v>0.30504750998699176</v>
      </c>
      <c r="W76" s="45">
        <f t="shared" si="39"/>
        <v>0.3080979850868617</v>
      </c>
      <c r="X76" s="45">
        <f t="shared" si="39"/>
        <v>0.31117896493773034</v>
      </c>
      <c r="Y76" s="45">
        <f t="shared" si="39"/>
        <v>0.31429075458710765</v>
      </c>
      <c r="Z76" s="45">
        <f t="shared" si="39"/>
        <v>0.31743366213297874</v>
      </c>
      <c r="AA76" s="45">
        <f t="shared" si="39"/>
        <v>0.32060799875430851</v>
      </c>
      <c r="AB76" s="45">
        <f t="shared" si="39"/>
        <v>0.32381407874185159</v>
      </c>
      <c r="AC76" s="45">
        <f t="shared" si="39"/>
        <v>0.32705221952927011</v>
      </c>
      <c r="AD76" s="45">
        <f t="shared" si="39"/>
        <v>0.33032274172456283</v>
      </c>
      <c r="AE76" s="45">
        <f t="shared" si="39"/>
        <v>0.33362596914180848</v>
      </c>
      <c r="AF76" s="45">
        <f t="shared" si="39"/>
        <v>0.33696222883322657</v>
      </c>
      <c r="AG76" s="45">
        <f t="shared" si="39"/>
        <v>0.34033185112155884</v>
      </c>
      <c r="AH76" s="45">
        <f t="shared" si="39"/>
        <v>0.34373516963277445</v>
      </c>
      <c r="AI76" s="45">
        <f t="shared" si="39"/>
        <v>0.3471725213291022</v>
      </c>
      <c r="AJ76" s="45">
        <f t="shared" si="39"/>
        <v>0.35064424654239323</v>
      </c>
      <c r="AK76" s="45">
        <f t="shared" si="39"/>
        <v>0.35415068900781715</v>
      </c>
    </row>
    <row r="77" spans="1:37" x14ac:dyDescent="0.25">
      <c r="A77" t="s">
        <v>168</v>
      </c>
      <c r="B77" s="22">
        <v>0.01</v>
      </c>
      <c r="C77" s="22">
        <v>0.01</v>
      </c>
      <c r="D77" s="22">
        <v>0.01</v>
      </c>
      <c r="E77" s="22">
        <v>0.01</v>
      </c>
      <c r="F77" s="22">
        <v>0.01</v>
      </c>
      <c r="G77" s="22">
        <v>0.01</v>
      </c>
      <c r="H77" s="22">
        <v>0.01</v>
      </c>
      <c r="I77" s="22">
        <v>0.01</v>
      </c>
      <c r="J77" s="22">
        <v>0.01</v>
      </c>
      <c r="K77" s="22">
        <v>0.01</v>
      </c>
      <c r="L77" s="22">
        <v>0.01</v>
      </c>
      <c r="M77" s="22">
        <v>0.01</v>
      </c>
      <c r="N77" s="22">
        <v>0.01</v>
      </c>
      <c r="O77" s="22">
        <v>0.01</v>
      </c>
      <c r="P77" s="22">
        <v>0.01</v>
      </c>
      <c r="Q77" s="22">
        <v>0.01</v>
      </c>
      <c r="R77" s="22">
        <v>0.01</v>
      </c>
      <c r="S77" s="22">
        <v>0.01</v>
      </c>
      <c r="T77" s="22">
        <v>0.01</v>
      </c>
      <c r="U77" s="22">
        <v>0.01</v>
      </c>
      <c r="V77" s="22">
        <v>0.01</v>
      </c>
      <c r="W77" s="22">
        <v>0.01</v>
      </c>
      <c r="X77" s="22">
        <v>0.01</v>
      </c>
      <c r="Y77" s="22">
        <v>0.01</v>
      </c>
      <c r="Z77" s="22">
        <v>0.01</v>
      </c>
      <c r="AA77" s="22">
        <v>0.01</v>
      </c>
      <c r="AB77" s="22">
        <v>0.01</v>
      </c>
      <c r="AC77" s="22">
        <v>0.01</v>
      </c>
      <c r="AD77" s="22">
        <v>0.01</v>
      </c>
      <c r="AE77" s="22">
        <v>0.01</v>
      </c>
      <c r="AF77" s="22">
        <v>0.01</v>
      </c>
      <c r="AG77" s="22">
        <v>0.01</v>
      </c>
      <c r="AH77" s="22">
        <v>0.01</v>
      </c>
      <c r="AI77" s="22">
        <v>0.01</v>
      </c>
      <c r="AJ77" s="22">
        <v>0.01</v>
      </c>
      <c r="AK77" s="22">
        <v>0.01</v>
      </c>
    </row>
    <row r="78" spans="1:37" x14ac:dyDescent="0.25">
      <c r="A78" s="37" t="s">
        <v>213</v>
      </c>
      <c r="B78" s="25">
        <v>25</v>
      </c>
      <c r="C78" s="24">
        <f>B78*(1+B79)</f>
        <v>25.25</v>
      </c>
      <c r="D78" s="24">
        <f t="shared" ref="D78:AK78" si="40">C78*(1+C79)</f>
        <v>25.502500000000001</v>
      </c>
      <c r="E78" s="24">
        <f t="shared" si="40"/>
        <v>25.757525000000001</v>
      </c>
      <c r="F78" s="24">
        <f t="shared" si="40"/>
        <v>26.01510025</v>
      </c>
      <c r="G78" s="24">
        <f t="shared" si="40"/>
        <v>26.275251252499999</v>
      </c>
      <c r="H78" s="24">
        <f t="shared" si="40"/>
        <v>26.538003765025</v>
      </c>
      <c r="I78" s="24">
        <f t="shared" si="40"/>
        <v>26.803383802675249</v>
      </c>
      <c r="J78" s="24">
        <f t="shared" si="40"/>
        <v>27.071417640702002</v>
      </c>
      <c r="K78" s="24">
        <f t="shared" si="40"/>
        <v>27.342131817109021</v>
      </c>
      <c r="L78" s="24">
        <f t="shared" si="40"/>
        <v>27.615553135280113</v>
      </c>
      <c r="M78" s="24">
        <f t="shared" si="40"/>
        <v>27.891708666632915</v>
      </c>
      <c r="N78" s="24">
        <f t="shared" si="40"/>
        <v>28.170625753299245</v>
      </c>
      <c r="O78" s="24">
        <f t="shared" si="40"/>
        <v>28.452332010832237</v>
      </c>
      <c r="P78" s="24">
        <f t="shared" si="40"/>
        <v>28.736855330940561</v>
      </c>
      <c r="Q78" s="24">
        <f t="shared" si="40"/>
        <v>29.024223884249967</v>
      </c>
      <c r="R78" s="24">
        <f t="shared" si="40"/>
        <v>29.314466123092465</v>
      </c>
      <c r="S78" s="24">
        <f t="shared" si="40"/>
        <v>29.607610784323391</v>
      </c>
      <c r="T78" s="24">
        <f t="shared" si="40"/>
        <v>29.903686892166625</v>
      </c>
      <c r="U78" s="24">
        <f t="shared" si="40"/>
        <v>30.202723761088293</v>
      </c>
      <c r="V78" s="24">
        <f t="shared" si="40"/>
        <v>30.504750998699176</v>
      </c>
      <c r="W78" s="24">
        <f t="shared" si="40"/>
        <v>30.809798508686168</v>
      </c>
      <c r="X78" s="24">
        <f t="shared" si="40"/>
        <v>31.117896493773031</v>
      </c>
      <c r="Y78" s="24">
        <f t="shared" si="40"/>
        <v>31.429075458710763</v>
      </c>
      <c r="Z78" s="24">
        <f t="shared" si="40"/>
        <v>31.743366213297872</v>
      </c>
      <c r="AA78" s="24">
        <f t="shared" si="40"/>
        <v>32.060799875430853</v>
      </c>
      <c r="AB78" s="24">
        <f t="shared" si="40"/>
        <v>32.381407874185165</v>
      </c>
      <c r="AC78" s="24">
        <f t="shared" si="40"/>
        <v>32.705221952927019</v>
      </c>
      <c r="AD78" s="24">
        <f t="shared" si="40"/>
        <v>33.03227417245629</v>
      </c>
      <c r="AE78" s="24">
        <f t="shared" si="40"/>
        <v>33.362596914180855</v>
      </c>
      <c r="AF78" s="24">
        <f t="shared" si="40"/>
        <v>33.696222883322662</v>
      </c>
      <c r="AG78" s="24">
        <f t="shared" si="40"/>
        <v>34.033185112155891</v>
      </c>
      <c r="AH78" s="24">
        <f t="shared" si="40"/>
        <v>34.373516963277453</v>
      </c>
      <c r="AI78" s="24">
        <f t="shared" si="40"/>
        <v>34.717252132910225</v>
      </c>
      <c r="AJ78" s="24">
        <f t="shared" si="40"/>
        <v>35.064424654239325</v>
      </c>
      <c r="AK78" s="24">
        <f t="shared" si="40"/>
        <v>35.415068900781719</v>
      </c>
    </row>
    <row r="79" spans="1:37" x14ac:dyDescent="0.25">
      <c r="A79" t="s">
        <v>168</v>
      </c>
      <c r="B79" s="22">
        <v>0.01</v>
      </c>
      <c r="C79" s="22">
        <v>0.01</v>
      </c>
      <c r="D79" s="22">
        <v>0.01</v>
      </c>
      <c r="E79" s="22">
        <v>0.01</v>
      </c>
      <c r="F79" s="22">
        <v>0.01</v>
      </c>
      <c r="G79" s="22">
        <v>0.01</v>
      </c>
      <c r="H79" s="22">
        <v>0.01</v>
      </c>
      <c r="I79" s="22">
        <v>0.01</v>
      </c>
      <c r="J79" s="22">
        <v>0.01</v>
      </c>
      <c r="K79" s="22">
        <v>0.01</v>
      </c>
      <c r="L79" s="22">
        <v>0.01</v>
      </c>
      <c r="M79" s="22">
        <v>0.01</v>
      </c>
      <c r="N79" s="22">
        <v>0.01</v>
      </c>
      <c r="O79" s="22">
        <v>0.01</v>
      </c>
      <c r="P79" s="22">
        <v>0.01</v>
      </c>
      <c r="Q79" s="22">
        <v>0.01</v>
      </c>
      <c r="R79" s="22">
        <v>0.01</v>
      </c>
      <c r="S79" s="22">
        <v>0.01</v>
      </c>
      <c r="T79" s="22">
        <v>0.01</v>
      </c>
      <c r="U79" s="22">
        <v>0.01</v>
      </c>
      <c r="V79" s="22">
        <v>0.01</v>
      </c>
      <c r="W79" s="22">
        <v>0.01</v>
      </c>
      <c r="X79" s="22">
        <v>0.01</v>
      </c>
      <c r="Y79" s="22">
        <v>0.01</v>
      </c>
      <c r="Z79" s="22">
        <v>0.01</v>
      </c>
      <c r="AA79" s="22">
        <v>0.01</v>
      </c>
      <c r="AB79" s="22">
        <v>0.01</v>
      </c>
      <c r="AC79" s="22">
        <v>0.01</v>
      </c>
      <c r="AD79" s="22">
        <v>0.01</v>
      </c>
      <c r="AE79" s="22">
        <v>0.01</v>
      </c>
      <c r="AF79" s="22">
        <v>0.01</v>
      </c>
      <c r="AG79" s="22">
        <v>0.01</v>
      </c>
      <c r="AH79" s="22">
        <v>0.01</v>
      </c>
      <c r="AI79" s="22">
        <v>0.01</v>
      </c>
      <c r="AJ79" s="22">
        <v>0.01</v>
      </c>
      <c r="AK79" s="22">
        <v>0.01</v>
      </c>
    </row>
    <row r="80" spans="1:37" x14ac:dyDescent="0.25">
      <c r="A80" s="37" t="s">
        <v>211</v>
      </c>
      <c r="B80" s="24">
        <f>B22*B76*B78</f>
        <v>23.4375</v>
      </c>
      <c r="C80" s="24">
        <f t="shared" ref="C80:AK80" si="41">C22*C76*C78</f>
        <v>46.916627280937497</v>
      </c>
      <c r="D80" s="24">
        <f t="shared" si="41"/>
        <v>71.264169788327379</v>
      </c>
      <c r="E80" s="24">
        <f t="shared" si="41"/>
        <v>97.276024192202797</v>
      </c>
      <c r="F80" s="24">
        <f t="shared" si="41"/>
        <v>125.7575954204862</v>
      </c>
      <c r="G80" s="24">
        <f t="shared" si="41"/>
        <v>157.56064893666027</v>
      </c>
      <c r="H80" s="24">
        <f t="shared" si="41"/>
        <v>193.61923238100823</v>
      </c>
      <c r="I80" s="24">
        <f t="shared" si="41"/>
        <v>234.98694371748888</v>
      </c>
      <c r="J80" s="24">
        <f t="shared" si="41"/>
        <v>280.71480959032925</v>
      </c>
      <c r="K80" s="24">
        <f t="shared" si="41"/>
        <v>331.48798821194345</v>
      </c>
      <c r="L80" s="24">
        <f t="shared" si="41"/>
        <v>388.07644761705473</v>
      </c>
      <c r="M80" s="24">
        <f t="shared" si="41"/>
        <v>451.34704256835067</v>
      </c>
      <c r="N80" s="24">
        <f t="shared" si="41"/>
        <v>522.27717643449785</v>
      </c>
      <c r="O80" s="24">
        <f t="shared" si="41"/>
        <v>601.97026657621041</v>
      </c>
      <c r="P80" s="24">
        <f t="shared" si="41"/>
        <v>691.67326109225371</v>
      </c>
      <c r="Q80" s="24">
        <f t="shared" si="41"/>
        <v>792.79648809681635</v>
      </c>
      <c r="R80" s="24">
        <f t="shared" si="41"/>
        <v>906.93615656460554</v>
      </c>
      <c r="S80" s="24">
        <f t="shared" si="41"/>
        <v>1035.8998708061833</v>
      </c>
      <c r="T80" s="24">
        <f t="shared" si="41"/>
        <v>1181.7355695232666</v>
      </c>
      <c r="U80" s="24">
        <f t="shared" si="41"/>
        <v>1346.7643559371716</v>
      </c>
      <c r="V80" s="24">
        <f t="shared" si="41"/>
        <v>1533.61774858679</v>
      </c>
      <c r="W80" s="24">
        <f t="shared" si="41"/>
        <v>1745.279954082072</v>
      </c>
      <c r="X80" s="24">
        <f t="shared" si="41"/>
        <v>1985.1358445414839</v>
      </c>
      <c r="Y80" s="24">
        <f t="shared" si="41"/>
        <v>2257.025414962699</v>
      </c>
      <c r="Z80" s="24">
        <f t="shared" si="41"/>
        <v>2565.3056008808908</v>
      </c>
      <c r="AA80" s="24">
        <f t="shared" si="41"/>
        <v>2914.9204560697008</v>
      </c>
      <c r="AB80" s="24">
        <f t="shared" si="41"/>
        <v>3311.4808256805809</v>
      </c>
      <c r="AC80" s="24">
        <f t="shared" si="41"/>
        <v>3761.3548043062628</v>
      </c>
      <c r="AD80" s="24">
        <f t="shared" si="41"/>
        <v>4271.7704435040596</v>
      </c>
      <c r="AE80" s="24">
        <f t="shared" si="41"/>
        <v>4850.9323721773935</v>
      </c>
      <c r="AF80" s="24">
        <f t="shared" si="41"/>
        <v>5508.1542191310009</v>
      </c>
      <c r="AG80" s="24">
        <f t="shared" si="41"/>
        <v>6254.0089837704818</v>
      </c>
      <c r="AH80" s="24">
        <f t="shared" si="41"/>
        <v>7100.4997924962072</v>
      </c>
      <c r="AI80" s="24">
        <f t="shared" si="41"/>
        <v>8061.2538096021653</v>
      </c>
      <c r="AJ80" s="24">
        <f t="shared" si="41"/>
        <v>9151.7424478379035</v>
      </c>
      <c r="AK80" s="24">
        <f t="shared" si="41"/>
        <v>10389.531451369832</v>
      </c>
    </row>
    <row r="81" spans="1:37" x14ac:dyDescent="0.25">
      <c r="A81" s="3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x14ac:dyDescent="0.25">
      <c r="A82" s="37" t="s">
        <v>212</v>
      </c>
      <c r="B82" s="25">
        <v>250</v>
      </c>
      <c r="C82" s="24">
        <f>B82*(1+B83)</f>
        <v>252.5</v>
      </c>
      <c r="D82" s="24">
        <f t="shared" ref="D82:AK82" si="42">C82*(1+C83)</f>
        <v>255.02500000000001</v>
      </c>
      <c r="E82" s="24">
        <f t="shared" si="42"/>
        <v>257.57524999999998</v>
      </c>
      <c r="F82" s="24">
        <f t="shared" si="42"/>
        <v>260.1510025</v>
      </c>
      <c r="G82" s="24">
        <f t="shared" si="42"/>
        <v>262.75251252499999</v>
      </c>
      <c r="H82" s="24">
        <f t="shared" si="42"/>
        <v>265.38003765024996</v>
      </c>
      <c r="I82" s="24">
        <f t="shared" si="42"/>
        <v>268.03383802675245</v>
      </c>
      <c r="J82" s="24">
        <f t="shared" si="42"/>
        <v>270.71417640701998</v>
      </c>
      <c r="K82" s="24">
        <f t="shared" si="42"/>
        <v>273.42131817109021</v>
      </c>
      <c r="L82" s="24">
        <f t="shared" si="42"/>
        <v>276.15553135280112</v>
      </c>
      <c r="M82" s="24">
        <f t="shared" si="42"/>
        <v>278.91708666632911</v>
      </c>
      <c r="N82" s="24">
        <f t="shared" si="42"/>
        <v>281.70625753299242</v>
      </c>
      <c r="O82" s="24">
        <f t="shared" si="42"/>
        <v>284.52332010832237</v>
      </c>
      <c r="P82" s="24">
        <f t="shared" si="42"/>
        <v>287.36855330940557</v>
      </c>
      <c r="Q82" s="24">
        <f t="shared" si="42"/>
        <v>290.2422388424996</v>
      </c>
      <c r="R82" s="24">
        <f t="shared" si="42"/>
        <v>293.14466123092461</v>
      </c>
      <c r="S82" s="24">
        <f t="shared" si="42"/>
        <v>296.07610784323384</v>
      </c>
      <c r="T82" s="24">
        <f t="shared" si="42"/>
        <v>299.03686892166616</v>
      </c>
      <c r="U82" s="24">
        <f t="shared" si="42"/>
        <v>302.02723761088282</v>
      </c>
      <c r="V82" s="24">
        <f t="shared" si="42"/>
        <v>305.04750998699166</v>
      </c>
      <c r="W82" s="24">
        <f t="shared" si="42"/>
        <v>308.09798508686157</v>
      </c>
      <c r="X82" s="24">
        <f t="shared" si="42"/>
        <v>311.1789649377302</v>
      </c>
      <c r="Y82" s="24">
        <f t="shared" si="42"/>
        <v>314.29075458710753</v>
      </c>
      <c r="Z82" s="24">
        <f t="shared" si="42"/>
        <v>317.43366213297861</v>
      </c>
      <c r="AA82" s="24">
        <f t="shared" si="42"/>
        <v>320.60799875430843</v>
      </c>
      <c r="AB82" s="24">
        <f t="shared" si="42"/>
        <v>323.81407874185152</v>
      </c>
      <c r="AC82" s="24">
        <f t="shared" si="42"/>
        <v>327.05221952927002</v>
      </c>
      <c r="AD82" s="24">
        <f t="shared" si="42"/>
        <v>330.32274172456272</v>
      </c>
      <c r="AE82" s="24">
        <f t="shared" si="42"/>
        <v>333.62596914180835</v>
      </c>
      <c r="AF82" s="24">
        <f t="shared" si="42"/>
        <v>336.96222883322645</v>
      </c>
      <c r="AG82" s="24">
        <f t="shared" si="42"/>
        <v>340.33185112155871</v>
      </c>
      <c r="AH82" s="24">
        <f t="shared" si="42"/>
        <v>343.73516963277433</v>
      </c>
      <c r="AI82" s="24">
        <f t="shared" si="42"/>
        <v>347.1725213291021</v>
      </c>
      <c r="AJ82" s="24">
        <f t="shared" si="42"/>
        <v>350.64424654239315</v>
      </c>
      <c r="AK82" s="24">
        <f t="shared" si="42"/>
        <v>354.15068900781711</v>
      </c>
    </row>
    <row r="83" spans="1:37" x14ac:dyDescent="0.25">
      <c r="A83" t="s">
        <v>168</v>
      </c>
      <c r="B83" s="22">
        <v>0.01</v>
      </c>
      <c r="C83" s="22">
        <v>0.01</v>
      </c>
      <c r="D83" s="22">
        <v>0.01</v>
      </c>
      <c r="E83" s="22">
        <v>0.01</v>
      </c>
      <c r="F83" s="22">
        <v>0.01</v>
      </c>
      <c r="G83" s="22">
        <v>0.01</v>
      </c>
      <c r="H83" s="22">
        <v>0.01</v>
      </c>
      <c r="I83" s="22">
        <v>0.01</v>
      </c>
      <c r="J83" s="22">
        <v>0.01</v>
      </c>
      <c r="K83" s="22">
        <v>0.01</v>
      </c>
      <c r="L83" s="22">
        <v>0.01</v>
      </c>
      <c r="M83" s="22">
        <v>0.01</v>
      </c>
      <c r="N83" s="22">
        <v>0.01</v>
      </c>
      <c r="O83" s="22">
        <v>0.01</v>
      </c>
      <c r="P83" s="22">
        <v>0.01</v>
      </c>
      <c r="Q83" s="22">
        <v>0.01</v>
      </c>
      <c r="R83" s="22">
        <v>0.01</v>
      </c>
      <c r="S83" s="22">
        <v>0.01</v>
      </c>
      <c r="T83" s="22">
        <v>0.01</v>
      </c>
      <c r="U83" s="22">
        <v>0.01</v>
      </c>
      <c r="V83" s="22">
        <v>0.01</v>
      </c>
      <c r="W83" s="22">
        <v>0.01</v>
      </c>
      <c r="X83" s="22">
        <v>0.01</v>
      </c>
      <c r="Y83" s="22">
        <v>0.01</v>
      </c>
      <c r="Z83" s="22">
        <v>0.01</v>
      </c>
      <c r="AA83" s="22">
        <v>0.01</v>
      </c>
      <c r="AB83" s="22">
        <v>0.01</v>
      </c>
      <c r="AC83" s="22">
        <v>0.01</v>
      </c>
      <c r="AD83" s="22">
        <v>0.01</v>
      </c>
      <c r="AE83" s="22">
        <v>0.01</v>
      </c>
      <c r="AF83" s="22">
        <v>0.01</v>
      </c>
      <c r="AG83" s="22">
        <v>0.01</v>
      </c>
      <c r="AH83" s="22">
        <v>0.01</v>
      </c>
      <c r="AI83" s="22">
        <v>0.01</v>
      </c>
      <c r="AJ83" s="22">
        <v>0.01</v>
      </c>
      <c r="AK83" s="22">
        <v>0.01</v>
      </c>
    </row>
    <row r="84" spans="1:37" x14ac:dyDescent="0.25">
      <c r="A84" s="3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1:3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x14ac:dyDescent="0.25">
      <c r="A86" t="s">
        <v>173</v>
      </c>
      <c r="B86" s="29">
        <f>B40+B61+B67+B71+B80</f>
        <v>791.92499999999995</v>
      </c>
      <c r="C86" s="29">
        <f t="shared" ref="C86:AK86" si="43">C40+C61+C67+C71+C80</f>
        <v>1139.6858082766412</v>
      </c>
      <c r="D86" s="29">
        <f t="shared" si="43"/>
        <v>1500.9276238077562</v>
      </c>
      <c r="E86" s="29">
        <f t="shared" si="43"/>
        <v>1887.3515056856475</v>
      </c>
      <c r="F86" s="29">
        <f t="shared" si="43"/>
        <v>2310.8496580075307</v>
      </c>
      <c r="G86" s="29">
        <f t="shared" si="43"/>
        <v>2784.0479942766997</v>
      </c>
      <c r="H86" s="29">
        <f t="shared" si="43"/>
        <v>3798.5227536817997</v>
      </c>
      <c r="I86" s="29">
        <f t="shared" si="43"/>
        <v>4354.3332180498946</v>
      </c>
      <c r="J86" s="29">
        <f t="shared" si="43"/>
        <v>4955.4213069390944</v>
      </c>
      <c r="K86" s="29">
        <f t="shared" si="43"/>
        <v>5609.2250195836777</v>
      </c>
      <c r="L86" s="29">
        <f t="shared" si="43"/>
        <v>6323.8991302096165</v>
      </c>
      <c r="M86" s="29">
        <f t="shared" si="43"/>
        <v>7108.4223316934449</v>
      </c>
      <c r="N86" s="29">
        <f t="shared" si="43"/>
        <v>7972.7160536232268</v>
      </c>
      <c r="O86" s="29">
        <f t="shared" si="43"/>
        <v>8927.7766193788211</v>
      </c>
      <c r="P86" s="29">
        <f t="shared" si="43"/>
        <v>9985.8226056635267</v>
      </c>
      <c r="Q86" s="29">
        <f t="shared" si="43"/>
        <v>11160.459494586183</v>
      </c>
      <c r="R86" s="29">
        <f t="shared" si="43"/>
        <v>12466.863966470966</v>
      </c>
      <c r="S86" s="29">
        <f t="shared" si="43"/>
        <v>13921.990475118953</v>
      </c>
      <c r="T86" s="29">
        <f t="shared" si="43"/>
        <v>15544.80308088333</v>
      </c>
      <c r="U86" s="29">
        <f t="shared" si="43"/>
        <v>17356.535895913523</v>
      </c>
      <c r="V86" s="29">
        <f t="shared" si="43"/>
        <v>19380.985926264286</v>
      </c>
      <c r="W86" s="29">
        <f t="shared" si="43"/>
        <v>21644.84258407474</v>
      </c>
      <c r="X86" s="29">
        <f t="shared" si="43"/>
        <v>24178.058697460041</v>
      </c>
      <c r="Y86" s="29">
        <f t="shared" si="43"/>
        <v>27014.268474955865</v>
      </c>
      <c r="Z86" s="29">
        <f t="shared" si="43"/>
        <v>30191.258595361302</v>
      </c>
      <c r="AA86" s="29">
        <f t="shared" si="43"/>
        <v>33751.499404071219</v>
      </c>
      <c r="AB86" s="29">
        <f t="shared" si="43"/>
        <v>37742.744116485133</v>
      </c>
      <c r="AC86" s="29">
        <f t="shared" si="43"/>
        <v>42218.704972628009</v>
      </c>
      <c r="AD86" s="29">
        <f t="shared" si="43"/>
        <v>47239.816471568651</v>
      </c>
      <c r="AE86" s="29">
        <f t="shared" si="43"/>
        <v>52874.097158746183</v>
      </c>
      <c r="AF86" s="29">
        <f t="shared" si="43"/>
        <v>59198.122965742783</v>
      </c>
      <c r="AG86" s="29">
        <f t="shared" si="43"/>
        <v>66298.126835218063</v>
      </c>
      <c r="AH86" s="29">
        <f t="shared" si="43"/>
        <v>74271.241331938276</v>
      </c>
      <c r="AI86" s="29">
        <f t="shared" si="43"/>
        <v>83226.903176307038</v>
      </c>
      <c r="AJ86" s="29">
        <f t="shared" si="43"/>
        <v>93288.441176221997</v>
      </c>
      <c r="AK86" s="29">
        <f t="shared" si="43"/>
        <v>104594.87191823294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5" sqref="C5"/>
    </sheetView>
  </sheetViews>
  <sheetFormatPr defaultRowHeight="15" x14ac:dyDescent="0.25"/>
  <cols>
    <col min="1" max="1" width="7" bestFit="1" customWidth="1"/>
    <col min="2" max="2" width="34.140625" bestFit="1" customWidth="1"/>
    <col min="3" max="3" width="16.42578125" bestFit="1" customWidth="1"/>
    <col min="4" max="4" width="18.7109375" bestFit="1" customWidth="1"/>
    <col min="5" max="5" width="20" bestFit="1" customWidth="1"/>
    <col min="6" max="6" width="15.28515625" bestFit="1" customWidth="1"/>
  </cols>
  <sheetData>
    <row r="1" spans="1:6" x14ac:dyDescent="0.25">
      <c r="C1" s="4" t="s">
        <v>38</v>
      </c>
    </row>
    <row r="2" spans="1:6" x14ac:dyDescent="0.25">
      <c r="B2" s="4" t="s">
        <v>39</v>
      </c>
      <c r="C2" s="19">
        <v>0</v>
      </c>
    </row>
    <row r="3" spans="1:6" x14ac:dyDescent="0.25">
      <c r="B3" s="4" t="s">
        <v>40</v>
      </c>
      <c r="C3" s="20">
        <v>0</v>
      </c>
    </row>
    <row r="4" spans="1:6" x14ac:dyDescent="0.25">
      <c r="B4" s="4" t="s">
        <v>41</v>
      </c>
      <c r="C4" s="18">
        <v>0</v>
      </c>
    </row>
    <row r="5" spans="1:6" x14ac:dyDescent="0.25">
      <c r="B5" s="4" t="s">
        <v>42</v>
      </c>
      <c r="C5" s="20">
        <v>-1</v>
      </c>
    </row>
    <row r="7" spans="1:6" x14ac:dyDescent="0.25">
      <c r="B7" s="4" t="s">
        <v>38</v>
      </c>
    </row>
    <row r="8" spans="1:6" x14ac:dyDescent="0.25">
      <c r="A8" s="4" t="s">
        <v>20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</row>
    <row r="9" spans="1:6" x14ac:dyDescent="0.25">
      <c r="A9">
        <v>1</v>
      </c>
      <c r="B9">
        <f>IF(AND(C5&lt;=1,A9=1),1,IF(C5&lt;=0,IF(A9&lt;=C3,B8+1,0),IF(A9&lt;=C3+C5,B8+1,0)))</f>
        <v>1</v>
      </c>
      <c r="C9" s="3" t="e">
        <f>IF(AND(B9&gt;0,ISNUMBER(B9)),(-PMT((C4/12),C3,C2)),IF(B9=0,0,0))</f>
        <v>#NUM!</v>
      </c>
      <c r="D9" s="3">
        <f>IF(B9&lt;C3+1,(F9*C4)/12,0)</f>
        <v>0</v>
      </c>
      <c r="E9" s="3">
        <f>IF(B9&lt;=C3,C9-D9,0)</f>
        <v>0</v>
      </c>
      <c r="F9" s="3">
        <f>IF(AND(B9=1,B9&lt;&gt;0),C2,IF(B9=0,0,IF(AND(B9&gt;1,B9&lt;&gt;0,B9&lt;=C3),F8-E8,0)))</f>
        <v>0</v>
      </c>
    </row>
    <row r="10" spans="1:6" x14ac:dyDescent="0.25">
      <c r="A10">
        <v>2</v>
      </c>
      <c r="B10">
        <f>IF(AND(C5&lt;=1,A10=1),1,IF(C5&lt;=0,IF(A10&lt;=C3,B9+1,0),IF(A10&lt;=C3+C5,B9+1,0)))</f>
        <v>0</v>
      </c>
      <c r="C10" s="3">
        <f>IF(AND(B10&gt;0,ISNUMBER(B10)),(-PMT((C4/12),C3,C2)),IF(B10=0,0,0))</f>
        <v>0</v>
      </c>
      <c r="D10" s="3">
        <f>IF(B10&lt;C3+1,(F10*C4)/12,0)</f>
        <v>0</v>
      </c>
      <c r="E10" s="3">
        <f>IF(B10&lt;=C3,C10-D10,0)</f>
        <v>0</v>
      </c>
      <c r="F10" s="3">
        <f>IF(AND(B10=1,B10&lt;&gt;0),C2,IF(B10=0,0,IF(AND(B10&gt;1,B10&lt;&gt;0,B10&lt;=C3),F9-E9,0)))</f>
        <v>0</v>
      </c>
    </row>
    <row r="11" spans="1:6" x14ac:dyDescent="0.25">
      <c r="A11">
        <v>3</v>
      </c>
      <c r="B11">
        <f>IF(AND(C5&lt;=1,A11=1),1,IF(C5&lt;=0,IF(A11&lt;=C3,B10+1,0),IF(A11&lt;=C3+C5,B10+1,0)))</f>
        <v>0</v>
      </c>
      <c r="C11" s="3">
        <f>IF(AND(B11&gt;0,ISNUMBER(B11)),(-PMT((C4/12),C3,C2)),IF(B11=0,0,0))</f>
        <v>0</v>
      </c>
      <c r="D11" s="3">
        <f>IF(B11&lt;C3+1,(F11*C4)/12,0)</f>
        <v>0</v>
      </c>
      <c r="E11" s="3">
        <f>IF(B11&lt;=C3,C11-D11,0)</f>
        <v>0</v>
      </c>
      <c r="F11" s="3">
        <f>IF(AND(B11=1,B11&lt;&gt;0),C2,IF(B11=0,0,IF(AND(B11&gt;1,B11&lt;&gt;0,B11&lt;=C3),F10-E10,0)))</f>
        <v>0</v>
      </c>
    </row>
    <row r="12" spans="1:6" x14ac:dyDescent="0.25">
      <c r="A12">
        <v>4</v>
      </c>
      <c r="B12">
        <f>IF(AND(C5&lt;=1,A12=1),1,IF(C5&lt;=0,IF(A12&lt;=C3,B11+1,0),IF(A12&lt;=C3+C5,B11+1,0)))</f>
        <v>0</v>
      </c>
      <c r="C12" s="3">
        <f>IF(AND(B12&gt;0,ISNUMBER(B12)),(-PMT((C4/12),C3,C2)),IF(B12=0,0,0))</f>
        <v>0</v>
      </c>
      <c r="D12" s="3">
        <f>IF(B12&lt;C3+1,(F12*C4)/12,0)</f>
        <v>0</v>
      </c>
      <c r="E12" s="3">
        <f>IF(B12&lt;=C3,C12-D12,0)</f>
        <v>0</v>
      </c>
      <c r="F12" s="3">
        <f>IF(AND(B12=1,B12&lt;&gt;0),C2,IF(B12=0,0,IF(AND(B12&gt;1,B12&lt;&gt;0,B12&lt;=C3),F11-E11,0)))</f>
        <v>0</v>
      </c>
    </row>
    <row r="13" spans="1:6" x14ac:dyDescent="0.25">
      <c r="A13">
        <v>5</v>
      </c>
      <c r="B13">
        <f>IF(AND(C5&lt;=1,A13=1),1,IF(C5&lt;=0,IF(A13&lt;=C3,B12+1,0),IF(A13&lt;=C3+C5,B12+1,0)))</f>
        <v>0</v>
      </c>
      <c r="C13" s="3">
        <f>IF(AND(B13&gt;0,ISNUMBER(B13)),(-PMT((C4/12),C3,C2)),IF(B13=0,0,0))</f>
        <v>0</v>
      </c>
      <c r="D13" s="3">
        <f>IF(B13&lt;C3+1,(F13*C4)/12,0)</f>
        <v>0</v>
      </c>
      <c r="E13" s="3">
        <f>IF(B13&lt;=C3,C13-D13,0)</f>
        <v>0</v>
      </c>
      <c r="F13" s="3">
        <f>IF(AND(B13=1,B13&lt;&gt;0),C2,IF(B13=0,0,IF(AND(B13&gt;1,B13&lt;&gt;0,B13&lt;=C3),F12-E12,0)))</f>
        <v>0</v>
      </c>
    </row>
    <row r="14" spans="1:6" x14ac:dyDescent="0.25">
      <c r="A14">
        <v>6</v>
      </c>
      <c r="B14">
        <f>IF(AND(C5&lt;=1,A14=1),1,IF(C5&lt;=0,IF(A14&lt;=C3,B13+1,0),IF(A14&lt;=C3+C5,B13+1,0)))</f>
        <v>0</v>
      </c>
      <c r="C14" s="3">
        <f>IF(AND(B14&gt;0,ISNUMBER(B14)),(-PMT((C4/12),C3,C2)),IF(B14=0,0,0))</f>
        <v>0</v>
      </c>
      <c r="D14" s="3">
        <f>IF(B14&lt;C3+1,(F14*C4)/12,0)</f>
        <v>0</v>
      </c>
      <c r="E14" s="3">
        <f>IF(B14&lt;=C3,C14-D14,0)</f>
        <v>0</v>
      </c>
      <c r="F14" s="3">
        <f>IF(AND(B14=1,B14&lt;&gt;0),C2,IF(B14=0,0,IF(AND(B14&gt;1,B14&lt;&gt;0,B14&lt;=C3),F13-E13,0)))</f>
        <v>0</v>
      </c>
    </row>
    <row r="15" spans="1:6" x14ac:dyDescent="0.25">
      <c r="A15">
        <v>7</v>
      </c>
      <c r="B15">
        <f>IF(AND(C5&lt;=1,A15=1),1,IF(C5&lt;=0,IF(A15&lt;=C3,B14+1,0),IF(A15&lt;=C3+C5,B14+1,0)))</f>
        <v>0</v>
      </c>
      <c r="C15" s="3">
        <f>IF(AND(B15&gt;0,ISNUMBER(B15)),(-PMT((C4/12),C3,C2)),IF(B15=0,0,0))</f>
        <v>0</v>
      </c>
      <c r="D15" s="3">
        <f>IF(B15&lt;C3+1,(F15*C4)/12,0)</f>
        <v>0</v>
      </c>
      <c r="E15" s="3">
        <f>IF(B15&lt;=C3,C15-D15,0)</f>
        <v>0</v>
      </c>
      <c r="F15" s="3">
        <f>IF(AND(B15=1,B15&lt;&gt;0),C2,IF(B15=0,0,IF(AND(B15&gt;1,B15&lt;&gt;0,B15&lt;=C3),F14-E14,0)))</f>
        <v>0</v>
      </c>
    </row>
    <row r="16" spans="1:6" x14ac:dyDescent="0.25">
      <c r="A16">
        <v>8</v>
      </c>
      <c r="B16">
        <f>IF(AND(C5&lt;=1,A16=1),1,IF(C5&lt;=0,IF(A16&lt;=C3,B15+1,0),IF(A16&lt;=C3+C5,B15+1,0)))</f>
        <v>0</v>
      </c>
      <c r="C16" s="3">
        <f>IF(AND(B16&gt;0,ISNUMBER(B16)),(-PMT((C4/12),C3,C2)),IF(B16=0,0,0))</f>
        <v>0</v>
      </c>
      <c r="D16" s="3">
        <f>IF(B16&lt;C3+1,(F16*C4)/12,0)</f>
        <v>0</v>
      </c>
      <c r="E16" s="3">
        <f>IF(B16&lt;=C3,C16-D16,0)</f>
        <v>0</v>
      </c>
      <c r="F16" s="3">
        <f>IF(AND(B16=1,B16&lt;&gt;0),C2,IF(B16=0,0,IF(AND(B16&gt;1,B16&lt;&gt;0,B16&lt;=C3),F15-E15,0)))</f>
        <v>0</v>
      </c>
    </row>
    <row r="17" spans="1:6" x14ac:dyDescent="0.25">
      <c r="A17">
        <v>9</v>
      </c>
      <c r="B17">
        <f>IF(AND(C5&lt;=1,A17=1),1,IF(C5&lt;=0,IF(A17&lt;=C3,B16+1,0),IF(A17&lt;=C3+C5,B16+1,0)))</f>
        <v>0</v>
      </c>
      <c r="C17" s="3">
        <f>IF(AND(B17&gt;0,ISNUMBER(B17)),(-PMT((C4/12),C3,C2)),IF(B17=0,0,0))</f>
        <v>0</v>
      </c>
      <c r="D17" s="3">
        <f>IF(B17&lt;C3+1,(F17*C4)/12,0)</f>
        <v>0</v>
      </c>
      <c r="E17" s="3">
        <f>IF(B17&lt;=C3,C17-D17,0)</f>
        <v>0</v>
      </c>
      <c r="F17" s="3">
        <f>IF(AND(B17=1,B17&lt;&gt;0),C2,IF(B17=0,0,IF(AND(B17&gt;1,B17&lt;&gt;0,B17&lt;=C3),F16-E16,0)))</f>
        <v>0</v>
      </c>
    </row>
    <row r="18" spans="1:6" x14ac:dyDescent="0.25">
      <c r="A18">
        <v>10</v>
      </c>
      <c r="B18">
        <f>IF(AND(C5&lt;=1,A18=1),1,IF(C5&lt;=0,IF(A18&lt;=C3,B17+1,0),IF(A18&lt;=C3+C5,B17+1,0)))</f>
        <v>0</v>
      </c>
      <c r="C18" s="3">
        <f>IF(AND(B18&gt;0,ISNUMBER(B18)),(-PMT((C4/12),C3,C2)),IF(B18=0,0,0))</f>
        <v>0</v>
      </c>
      <c r="D18" s="3">
        <f>IF(B18&lt;C3+1,(F18*C4)/12,0)</f>
        <v>0</v>
      </c>
      <c r="E18" s="3">
        <f>IF(B18&lt;=C3,C18-D18,0)</f>
        <v>0</v>
      </c>
      <c r="F18" s="3">
        <f>IF(AND(B18=1,B18&lt;&gt;0),C2,IF(B18=0,0,IF(AND(B18&gt;1,B18&lt;&gt;0,B18&lt;=C3),F17-E17,0)))</f>
        <v>0</v>
      </c>
    </row>
    <row r="19" spans="1:6" x14ac:dyDescent="0.25">
      <c r="A19">
        <v>11</v>
      </c>
      <c r="B19">
        <f>IF(AND(C5&lt;=1,A19=1),1,IF(C5&lt;=0,IF(A19&lt;=C3,B18+1,0),IF(A19&lt;=C3+C5,B18+1,0)))</f>
        <v>0</v>
      </c>
      <c r="C19" s="3">
        <f>IF(AND(B19&gt;0,ISNUMBER(B19)),(-PMT((C4/12),C3,C2)),IF(B19=0,0,0))</f>
        <v>0</v>
      </c>
      <c r="D19" s="3">
        <f>IF(B19&lt;C3+1,(F19*C4)/12,0)</f>
        <v>0</v>
      </c>
      <c r="E19" s="3">
        <f>IF(B19&lt;=C3,C19-D19,0)</f>
        <v>0</v>
      </c>
      <c r="F19" s="3">
        <f>IF(AND(B19=1,B19&lt;&gt;0),C2,IF(B19=0,0,IF(AND(B19&gt;1,B19&lt;&gt;0,B19&lt;=C3),F18-E18,0)))</f>
        <v>0</v>
      </c>
    </row>
    <row r="20" spans="1:6" x14ac:dyDescent="0.25">
      <c r="A20">
        <v>12</v>
      </c>
      <c r="B20">
        <f>IF(AND(C5&lt;=1,A20=1),1,IF(C5&lt;=0,IF(A20&lt;=C3,B19+1,0),IF(A20&lt;=C3+C5,B19+1,0)))</f>
        <v>0</v>
      </c>
      <c r="C20" s="3">
        <f>IF(AND(B20&gt;0,ISNUMBER(B20)),(-PMT((C4/12),C3,C2)),IF(B20=0,0,0))</f>
        <v>0</v>
      </c>
      <c r="D20" s="3">
        <f>IF(B20&lt;C3+1,(F20*C4)/12,0)</f>
        <v>0</v>
      </c>
      <c r="E20" s="3">
        <f>IF(B20&lt;=C3,C20-D20,0)</f>
        <v>0</v>
      </c>
      <c r="F20" s="3">
        <f>IF(AND(B20=1,B20&lt;&gt;0),C2,IF(B20=0,0,IF(AND(B20&gt;1,B20&lt;&gt;0,B20&lt;=C3),F19-E19,0)))</f>
        <v>0</v>
      </c>
    </row>
    <row r="21" spans="1:6" x14ac:dyDescent="0.25">
      <c r="A21">
        <v>13</v>
      </c>
      <c r="B21">
        <f>IF(AND(C5&lt;=1,A21=1),1,IF(C5&lt;=0,IF(A21&lt;=C3,B20+1,0),IF(A21&lt;=C3+C5,B20+1,0)))</f>
        <v>0</v>
      </c>
      <c r="C21" s="3">
        <f>IF(AND(B21&gt;0,ISNUMBER(B21)),(-PMT((C4/12),C3,C2)),IF(B21=0,0,0))</f>
        <v>0</v>
      </c>
      <c r="D21" s="3">
        <f>IF(B21&lt;C3+1,(F21*C4)/12,0)</f>
        <v>0</v>
      </c>
      <c r="E21" s="3">
        <f>IF(B21&lt;=C3,C21-D21,0)</f>
        <v>0</v>
      </c>
      <c r="F21" s="3">
        <f>IF(AND(B21=1,B21&lt;&gt;0),C2,IF(B21=0,0,IF(AND(B21&gt;1,B21&lt;&gt;0,B21&lt;=C3),F20-E20,0)))</f>
        <v>0</v>
      </c>
    </row>
    <row r="22" spans="1:6" x14ac:dyDescent="0.25">
      <c r="A22">
        <v>14</v>
      </c>
      <c r="B22">
        <f>IF(AND(C5&lt;=1,A22=1),1,IF(C5&lt;=0,IF(A22&lt;=C3,B21+1,0),IF(A22&lt;=C3+C5,B21+1,0)))</f>
        <v>0</v>
      </c>
      <c r="C22" s="3">
        <f>IF(AND(B22&gt;0,ISNUMBER(B22)),(-PMT((C4/12),C3,C2)),IF(B22=0,0,0))</f>
        <v>0</v>
      </c>
      <c r="D22" s="3">
        <f>IF(B22&lt;C3+1,(F22*C4)/12,0)</f>
        <v>0</v>
      </c>
      <c r="E22" s="3">
        <f>IF(B22&lt;=C3,C22-D22,0)</f>
        <v>0</v>
      </c>
      <c r="F22" s="3">
        <f>IF(AND(B22=1,B22&lt;&gt;0),C2,IF(B22=0,0,IF(AND(B22&gt;1,B22&lt;&gt;0,B22&lt;=C3),F21-E21,0)))</f>
        <v>0</v>
      </c>
    </row>
    <row r="23" spans="1:6" x14ac:dyDescent="0.25">
      <c r="A23">
        <v>15</v>
      </c>
      <c r="B23">
        <f>IF(AND(C5&lt;=1,A23=1),1,IF(C5&lt;=0,IF(A23&lt;=C3,B22+1,0),IF(A23&lt;=C3+C5,B22+1,0)))</f>
        <v>0</v>
      </c>
      <c r="C23" s="3">
        <f>IF(AND(B23&gt;0,ISNUMBER(B23)),(-PMT((C4/12),C3,C2)),IF(B23=0,0,0))</f>
        <v>0</v>
      </c>
      <c r="D23" s="3">
        <f>IF(B23&lt;C3+1,(F23*C4)/12,0)</f>
        <v>0</v>
      </c>
      <c r="E23" s="3">
        <f>IF(B23&lt;=C3,C23-D23,0)</f>
        <v>0</v>
      </c>
      <c r="F23" s="3">
        <f>IF(AND(B23=1,B23&lt;&gt;0),C2,IF(B23=0,0,IF(AND(B23&gt;1,B23&lt;&gt;0,B23&lt;=C3),F22-E22,0)))</f>
        <v>0</v>
      </c>
    </row>
    <row r="24" spans="1:6" x14ac:dyDescent="0.25">
      <c r="A24">
        <v>16</v>
      </c>
      <c r="B24">
        <f>IF(AND(C5&lt;=1,A24=1),1,IF(C5&lt;=0,IF(A24&lt;=C3,B23+1,0),IF(A24&lt;=C3+C5,B23+1,0)))</f>
        <v>0</v>
      </c>
      <c r="C24" s="3">
        <f>IF(AND(B24&gt;0,ISNUMBER(B24)),(-PMT((C4/12),C3,C2)),IF(B24=0,0,0))</f>
        <v>0</v>
      </c>
      <c r="D24" s="3">
        <f>IF(B24&lt;C3+1,(F24*C4)/12,0)</f>
        <v>0</v>
      </c>
      <c r="E24" s="3">
        <f>IF(B24&lt;=C3,C24-D24,0)</f>
        <v>0</v>
      </c>
      <c r="F24" s="3">
        <f>IF(AND(B24=1,B24&lt;&gt;0),C2,IF(B24=0,0,IF(AND(B24&gt;1,B24&lt;&gt;0,B24&lt;=C3),F23-E23,0)))</f>
        <v>0</v>
      </c>
    </row>
    <row r="25" spans="1:6" x14ac:dyDescent="0.25">
      <c r="A25">
        <v>17</v>
      </c>
      <c r="B25">
        <f>IF(AND(C5&lt;=1,A25=1),1,IF(C5&lt;=0,IF(A25&lt;=C3,B24+1,0),IF(A25&lt;=C3+C5,B24+1,0)))</f>
        <v>0</v>
      </c>
      <c r="C25" s="3">
        <f>IF(AND(B25&gt;0,ISNUMBER(B25)),(-PMT((C4/12),C3,C2)),IF(B25=0,0,0))</f>
        <v>0</v>
      </c>
      <c r="D25" s="3">
        <f>IF(B25&lt;C3+1,(F25*C4)/12,0)</f>
        <v>0</v>
      </c>
      <c r="E25" s="3">
        <f>IF(B25&lt;=C3,C25-D25,0)</f>
        <v>0</v>
      </c>
      <c r="F25" s="3">
        <f>IF(AND(B25=1,B25&lt;&gt;0),C2,IF(B25=0,0,IF(AND(B25&gt;1,B25&lt;&gt;0,B25&lt;=C3),F24-E24,0)))</f>
        <v>0</v>
      </c>
    </row>
    <row r="26" spans="1:6" x14ac:dyDescent="0.25">
      <c r="A26">
        <v>18</v>
      </c>
      <c r="B26">
        <f>IF(AND(C5&lt;=1,A26=1),1,IF(C5&lt;=0,IF(A26&lt;=C3,B25+1,0),IF(A26&lt;=C3+C5,B25+1,0)))</f>
        <v>0</v>
      </c>
      <c r="C26" s="3">
        <f>IF(AND(B26&gt;0,ISNUMBER(B26)),(-PMT((C4/12),C3,C2)),IF(B26=0,0,0))</f>
        <v>0</v>
      </c>
      <c r="D26" s="3">
        <f>IF(B26&lt;C3+1,(F26*C4)/12,0)</f>
        <v>0</v>
      </c>
      <c r="E26" s="3">
        <f>IF(B26&lt;=C3,C26-D26,0)</f>
        <v>0</v>
      </c>
      <c r="F26" s="3">
        <f>IF(AND(B26=1,B26&lt;&gt;0),C2,IF(B26=0,0,IF(AND(B26&gt;1,B26&lt;&gt;0,B26&lt;=C3),F25-E25,0)))</f>
        <v>0</v>
      </c>
    </row>
    <row r="27" spans="1:6" x14ac:dyDescent="0.25">
      <c r="A27">
        <v>19</v>
      </c>
      <c r="B27">
        <f>IF(AND(C5&lt;=1,A27=1),1,IF(C5&lt;=0,IF(A27&lt;=C3,B26+1,0),IF(A27&lt;=C3+C5,B26+1,0)))</f>
        <v>0</v>
      </c>
      <c r="C27" s="3">
        <f>IF(AND(B27&gt;0,ISNUMBER(B27)),(-PMT((C4/12),C3,C2)),IF(B27=0,0,0))</f>
        <v>0</v>
      </c>
      <c r="D27" s="3">
        <f>IF(B27&lt;C3+1,(F27*C4)/12,0)</f>
        <v>0</v>
      </c>
      <c r="E27" s="3">
        <f>IF(B27&lt;=C3,C27-D27,0)</f>
        <v>0</v>
      </c>
      <c r="F27" s="3">
        <f>IF(AND(B27=1,B27&lt;&gt;0),C2,IF(B27=0,0,IF(AND(B27&gt;1,B27&lt;&gt;0,B27&lt;=C3),F26-E26,0)))</f>
        <v>0</v>
      </c>
    </row>
    <row r="28" spans="1:6" x14ac:dyDescent="0.25">
      <c r="A28">
        <v>20</v>
      </c>
      <c r="B28">
        <f>IF(AND(C5&lt;=1,A28=1),1,IF(C5&lt;=0,IF(A28&lt;=C3,B27+1,0),IF(A28&lt;=C3+C5,B27+1,0)))</f>
        <v>0</v>
      </c>
      <c r="C28" s="3">
        <f>IF(AND(B28&gt;0,ISNUMBER(B28)),(-PMT((C4/12),C3,C2)),IF(B28=0,0,0))</f>
        <v>0</v>
      </c>
      <c r="D28" s="3">
        <f>IF(B28&lt;C3+1,(F28*C4)/12,0)</f>
        <v>0</v>
      </c>
      <c r="E28" s="3">
        <f>IF(B28&lt;=C3,C28-D28,0)</f>
        <v>0</v>
      </c>
      <c r="F28" s="3">
        <f>IF(AND(B28=1,B28&lt;&gt;0),C2,IF(B28=0,0,IF(AND(B28&gt;1,B28&lt;&gt;0,B28&lt;=C3),F27-E27,0)))</f>
        <v>0</v>
      </c>
    </row>
    <row r="29" spans="1:6" x14ac:dyDescent="0.25">
      <c r="A29">
        <v>21</v>
      </c>
      <c r="B29">
        <f>IF(AND(C5&lt;=1,A29=1),1,IF(C5&lt;=0,IF(A29&lt;=C3,B28+1,0),IF(A29&lt;=C3+C5,B28+1,0)))</f>
        <v>0</v>
      </c>
      <c r="C29" s="3">
        <f>IF(AND(B29&gt;0,ISNUMBER(B29)),(-PMT((C4/12),C3,C2)),IF(B29=0,0,0))</f>
        <v>0</v>
      </c>
      <c r="D29" s="3">
        <f>IF(B29&lt;C3+1,(F29*C4)/12,0)</f>
        <v>0</v>
      </c>
      <c r="E29" s="3">
        <f>IF(B29&lt;=C3,C29-D29,0)</f>
        <v>0</v>
      </c>
      <c r="F29" s="3">
        <f>IF(AND(B29=1,B29&lt;&gt;0),C2,IF(B29=0,0,IF(AND(B29&gt;1,B29&lt;&gt;0,B29&lt;=C3),F28-E28,0)))</f>
        <v>0</v>
      </c>
    </row>
    <row r="30" spans="1:6" x14ac:dyDescent="0.25">
      <c r="A30">
        <v>22</v>
      </c>
      <c r="B30">
        <f>IF(AND(C5&lt;=1,A30=1),1,IF(C5&lt;=0,IF(A30&lt;=C3,B29+1,0),IF(A30&lt;=C3+C5,B29+1,0)))</f>
        <v>0</v>
      </c>
      <c r="C30" s="3">
        <f>IF(AND(B30&gt;0,ISNUMBER(B30)),(-PMT((C4/12),C3,C2)),IF(B30=0,0,0))</f>
        <v>0</v>
      </c>
      <c r="D30" s="3">
        <f>IF(B30&lt;C3+1,(F30*C4)/12,0)</f>
        <v>0</v>
      </c>
      <c r="E30" s="3">
        <f>IF(B30&lt;=C3,C30-D30,0)</f>
        <v>0</v>
      </c>
      <c r="F30" s="3">
        <f>IF(AND(B30=1,B30&lt;&gt;0),C2,IF(B30=0,0,IF(AND(B30&gt;1,B30&lt;&gt;0,B30&lt;=C3),F29-E29,0)))</f>
        <v>0</v>
      </c>
    </row>
    <row r="31" spans="1:6" x14ac:dyDescent="0.25">
      <c r="A31">
        <v>23</v>
      </c>
      <c r="B31">
        <f>IF(AND(C5&lt;=1,A31=1),1,IF(C5&lt;=0,IF(A31&lt;=C3,B30+1,0),IF(A31&lt;=C3+C5,B30+1,0)))</f>
        <v>0</v>
      </c>
      <c r="C31" s="3">
        <f>IF(AND(B31&gt;0,ISNUMBER(B31)),(-PMT((C4/12),C3,C2)),IF(B31=0,0,0))</f>
        <v>0</v>
      </c>
      <c r="D31" s="3">
        <f>IF(B31&lt;C3+1,(F31*C4)/12,0)</f>
        <v>0</v>
      </c>
      <c r="E31" s="3">
        <f>IF(B31&lt;=C3,C31-D31,0)</f>
        <v>0</v>
      </c>
      <c r="F31" s="3">
        <f>IF(AND(B31=1,B31&lt;&gt;0),C2,IF(B31=0,0,IF(AND(B31&gt;1,B31&lt;&gt;0,B31&lt;=C3),F30-E30,0)))</f>
        <v>0</v>
      </c>
    </row>
    <row r="32" spans="1:6" x14ac:dyDescent="0.25">
      <c r="A32">
        <v>24</v>
      </c>
      <c r="B32">
        <f>IF(AND(C5&lt;=1,A32=1),1,IF(C5&lt;=0,IF(A32&lt;=C3,B31+1,0),IF(A32&lt;=C3+C5,B31+1,0)))</f>
        <v>0</v>
      </c>
      <c r="C32" s="3">
        <f>IF(AND(B32&gt;0,ISNUMBER(B32)),(-PMT((C4/12),C3,C2)),IF(B32=0,0,0))</f>
        <v>0</v>
      </c>
      <c r="D32" s="3">
        <f>IF(B32&lt;C3+1,(F32*C4)/12,0)</f>
        <v>0</v>
      </c>
      <c r="E32" s="3">
        <f>IF(B32&lt;=C3,C32-D32,0)</f>
        <v>0</v>
      </c>
      <c r="F32" s="3">
        <f>IF(AND(B32=1,B32&lt;&gt;0),C2,IF(B32=0,0,IF(AND(B32&gt;1,B32&lt;&gt;0,B32&lt;=C3),F31-E31,0)))</f>
        <v>0</v>
      </c>
    </row>
    <row r="33" spans="1:6" x14ac:dyDescent="0.25">
      <c r="A33">
        <v>25</v>
      </c>
      <c r="B33">
        <f>IF(AND(C5&lt;=1,A33=1),1,IF(C5&lt;=0,IF(A33&lt;=C3,B32+1,0),IF(A33&lt;=C3+C5,B32+1,0)))</f>
        <v>0</v>
      </c>
      <c r="C33" s="3">
        <f>IF(AND(B33&gt;0,ISNUMBER(B33)),(-PMT((C4/12),C3,C2)),IF(B33=0,0,0))</f>
        <v>0</v>
      </c>
      <c r="D33" s="3">
        <f>IF(B33&lt;C3+1,(F33*C4)/12,0)</f>
        <v>0</v>
      </c>
      <c r="E33" s="3">
        <f>IF(B33&lt;=C3,C33-D33,0)</f>
        <v>0</v>
      </c>
      <c r="F33" s="3">
        <f>IF(AND(B33=1,B33&lt;&gt;0),C2,IF(B33=0,0,IF(AND(B33&gt;1,B33&lt;&gt;0,B33&lt;=C3),F32-E32,0)))</f>
        <v>0</v>
      </c>
    </row>
    <row r="34" spans="1:6" x14ac:dyDescent="0.25">
      <c r="A34">
        <v>26</v>
      </c>
      <c r="B34">
        <f>IF(AND(C5&lt;=1,A34=1),1,IF(C5&lt;=0,IF(A34&lt;=C3,B33+1,0),IF(A34&lt;=C3+C5,B33+1,0)))</f>
        <v>0</v>
      </c>
      <c r="C34" s="3">
        <f>IF(AND(B34&gt;0,ISNUMBER(B34)),(-PMT((C4/12),C3,C2)),IF(B34=0,0,0))</f>
        <v>0</v>
      </c>
      <c r="D34" s="3">
        <f>IF(B34&lt;C3+1,(F34*C4)/12,0)</f>
        <v>0</v>
      </c>
      <c r="E34" s="3">
        <f>IF(B34&lt;=C3,C34-D34,0)</f>
        <v>0</v>
      </c>
      <c r="F34" s="3">
        <f>IF(AND(B34=1,B34&lt;&gt;0),C2,IF(B34=0,0,IF(AND(B34&gt;1,B34&lt;&gt;0,B34&lt;=C3),F33-E33,0)))</f>
        <v>0</v>
      </c>
    </row>
    <row r="35" spans="1:6" x14ac:dyDescent="0.25">
      <c r="A35">
        <v>27</v>
      </c>
      <c r="B35">
        <f>IF(AND(C5&lt;=1,A35=1),1,IF(C5&lt;=0,IF(A35&lt;=C3,B34+1,0),IF(A35&lt;=C3+C5,B34+1,0)))</f>
        <v>0</v>
      </c>
      <c r="C35" s="3">
        <f>IF(AND(B35&gt;0,ISNUMBER(B35)),(-PMT((C4/12),C3,C2)),IF(B35=0,0,0))</f>
        <v>0</v>
      </c>
      <c r="D35" s="3">
        <f>IF(B35&lt;C3+1,(F35*C4)/12,0)</f>
        <v>0</v>
      </c>
      <c r="E35" s="3">
        <f>IF(B35&lt;=C3,C35-D35,0)</f>
        <v>0</v>
      </c>
      <c r="F35" s="3">
        <f>IF(AND(B35=1,B35&lt;&gt;0),C2,IF(B35=0,0,IF(AND(B35&gt;1,B35&lt;&gt;0,B35&lt;=C3),F34-E34,0)))</f>
        <v>0</v>
      </c>
    </row>
    <row r="36" spans="1:6" x14ac:dyDescent="0.25">
      <c r="A36">
        <v>28</v>
      </c>
      <c r="B36">
        <f>IF(AND(C5&lt;=1,A36=1),1,IF(C5&lt;=0,IF(A36&lt;=C3,B35+1,0),IF(A36&lt;=C3+C5,B35+1,0)))</f>
        <v>0</v>
      </c>
      <c r="C36" s="3">
        <f>IF(AND(B36&gt;0,ISNUMBER(B36)),(-PMT((C4/12),C3,C2)),IF(B36=0,0,0))</f>
        <v>0</v>
      </c>
      <c r="D36" s="3">
        <f>IF(B36&lt;C3+1,(F36*C4)/12,0)</f>
        <v>0</v>
      </c>
      <c r="E36" s="3">
        <f>IF(B36&lt;=C3,C36-D36,0)</f>
        <v>0</v>
      </c>
      <c r="F36" s="3">
        <f>IF(AND(B36=1,B36&lt;&gt;0),C2,IF(B36=0,0,IF(AND(B36&gt;1,B36&lt;&gt;0,B36&lt;=C3),F35-E35,0)))</f>
        <v>0</v>
      </c>
    </row>
    <row r="37" spans="1:6" x14ac:dyDescent="0.25">
      <c r="A37">
        <v>29</v>
      </c>
      <c r="B37">
        <f>IF(AND(C5&lt;=1,A37=1),1,IF(C5&lt;=0,IF(A37&lt;=C3,B36+1,0),IF(A37&lt;=C3+C5,B36+1,0)))</f>
        <v>0</v>
      </c>
      <c r="C37" s="3">
        <f>IF(AND(B37&gt;0,ISNUMBER(B37)),(-PMT((C4/12),C3,C2)),IF(B37=0,0,0))</f>
        <v>0</v>
      </c>
      <c r="D37" s="3">
        <f>IF(B37&lt;C3+1,(F37*C4)/12,0)</f>
        <v>0</v>
      </c>
      <c r="E37" s="3">
        <f>IF(B37&lt;=C3,C37-D37,0)</f>
        <v>0</v>
      </c>
      <c r="F37" s="3">
        <f>IF(AND(B37=1,B37&lt;&gt;0),C2,IF(B37=0,0,IF(AND(B37&gt;1,B37&lt;&gt;0,B37&lt;=C3),F36-E36,0)))</f>
        <v>0</v>
      </c>
    </row>
    <row r="38" spans="1:6" x14ac:dyDescent="0.25">
      <c r="A38">
        <v>30</v>
      </c>
      <c r="B38">
        <f>IF(AND(C5&lt;=1,A38=1),1,IF(C5&lt;=0,IF(A38&lt;=C3,B37+1,0),IF(A38&lt;=C3+C5,B37+1,0)))</f>
        <v>0</v>
      </c>
      <c r="C38" s="3">
        <f>IF(AND(B38&gt;0,ISNUMBER(B38)),(-PMT((C4/12),C3,C2)),IF(B38=0,0,0))</f>
        <v>0</v>
      </c>
      <c r="D38" s="3">
        <f>IF(B38&lt;C3+1,(F38*C4)/12,0)</f>
        <v>0</v>
      </c>
      <c r="E38" s="3">
        <f>IF(B38&lt;=C3,C38-D38,0)</f>
        <v>0</v>
      </c>
      <c r="F38" s="3">
        <f>IF(AND(B38=1,B38&lt;&gt;0),C2,IF(B38=0,0,IF(AND(B38&gt;1,B38&lt;&gt;0,B38&lt;=C3),F37-E37,0)))</f>
        <v>0</v>
      </c>
    </row>
    <row r="39" spans="1:6" x14ac:dyDescent="0.25">
      <c r="A39">
        <v>31</v>
      </c>
      <c r="B39">
        <f>IF(AND(C5&lt;=1,A39=1),1,IF(C5&lt;=0,IF(A39&lt;=C3,B38+1,0),IF(A39&lt;=C3+C5,B38+1,0)))</f>
        <v>0</v>
      </c>
      <c r="C39" s="3">
        <f>IF(AND(B39&gt;0,ISNUMBER(B39)),(-PMT((C4/12),C3,C2)),IF(B39=0,0,0))</f>
        <v>0</v>
      </c>
      <c r="D39" s="3">
        <f>IF(B39&lt;C3+1,(F39*C4)/12,0)</f>
        <v>0</v>
      </c>
      <c r="E39" s="3">
        <f>IF(B39&lt;=C3,C39-D39,0)</f>
        <v>0</v>
      </c>
      <c r="F39" s="3">
        <f>IF(AND(B39=1,B39&lt;&gt;0),C2,IF(B39=0,0,IF(AND(B39&gt;1,B39&lt;&gt;0,B39&lt;=C3),F38-E38,0)))</f>
        <v>0</v>
      </c>
    </row>
    <row r="40" spans="1:6" x14ac:dyDescent="0.25">
      <c r="A40">
        <v>32</v>
      </c>
      <c r="B40">
        <f>IF(AND(C5&lt;=1,A40=1),1,IF(C5&lt;=0,IF(A40&lt;=C3,B39+1,0),IF(A40&lt;=C3+C5,B39+1,0)))</f>
        <v>0</v>
      </c>
      <c r="C40" s="3">
        <f>IF(AND(B40&gt;0,ISNUMBER(B40)),(-PMT((C4/12),C3,C2)),IF(B40=0,0,0))</f>
        <v>0</v>
      </c>
      <c r="D40" s="3">
        <f>IF(B40&lt;C3+1,(F40*C4)/12,0)</f>
        <v>0</v>
      </c>
      <c r="E40" s="3">
        <f>IF(B40&lt;=C3,C40-D40,0)</f>
        <v>0</v>
      </c>
      <c r="F40" s="3">
        <f>IF(AND(B40=1,B40&lt;&gt;0),C2,IF(B40=0,0,IF(AND(B40&gt;1,B40&lt;&gt;0,B40&lt;=C3),F39-E39,0)))</f>
        <v>0</v>
      </c>
    </row>
    <row r="41" spans="1:6" x14ac:dyDescent="0.25">
      <c r="A41">
        <v>33</v>
      </c>
      <c r="B41">
        <f>IF(AND(C5&lt;=1,A41=1),1,IF(C5&lt;=0,IF(A41&lt;=C3,B40+1,0),IF(A41&lt;=C3+C5,B40+1,0)))</f>
        <v>0</v>
      </c>
      <c r="C41" s="3">
        <f>IF(AND(B41&gt;0,ISNUMBER(B41)),(-PMT((C4/12),C3,C2)),IF(B41=0,0,0))</f>
        <v>0</v>
      </c>
      <c r="D41" s="3">
        <f>IF(B41&lt;C3+1,(F41*C4)/12,0)</f>
        <v>0</v>
      </c>
      <c r="E41" s="3">
        <f>IF(B41&lt;=C3,C41-D41,0)</f>
        <v>0</v>
      </c>
      <c r="F41" s="3">
        <f>IF(AND(B41=1,B41&lt;&gt;0),C2,IF(B41=0,0,IF(AND(B41&gt;1,B41&lt;&gt;0,B41&lt;=C3),F40-E40,0)))</f>
        <v>0</v>
      </c>
    </row>
    <row r="42" spans="1:6" x14ac:dyDescent="0.25">
      <c r="A42">
        <v>34</v>
      </c>
      <c r="B42">
        <f>IF(AND(C5&lt;=1,A42=1),1,IF(C5&lt;=0,IF(A42&lt;=C3,B41+1,0),IF(A42&lt;=C3+C5,B41+1,0)))</f>
        <v>0</v>
      </c>
      <c r="C42" s="3">
        <f>IF(AND(B42&gt;0,ISNUMBER(B42)),(-PMT((C4/12),C3,C2)),IF(B42=0,0,0))</f>
        <v>0</v>
      </c>
      <c r="D42" s="3">
        <f>IF(B42&lt;C3+1,(F42*C4)/12,0)</f>
        <v>0</v>
      </c>
      <c r="E42" s="3">
        <f>IF(B42&lt;=C3,C42-D42,0)</f>
        <v>0</v>
      </c>
      <c r="F42" s="3">
        <f>IF(AND(B42=1,B42&lt;&gt;0),C2,IF(B42=0,0,IF(AND(B42&gt;1,B42&lt;&gt;0,B42&lt;=C3),F41-E41,0)))</f>
        <v>0</v>
      </c>
    </row>
    <row r="43" spans="1:6" x14ac:dyDescent="0.25">
      <c r="A43">
        <v>35</v>
      </c>
      <c r="B43">
        <f>IF(AND(C5&lt;=1,A43=1),1,IF(C5&lt;=0,IF(A43&lt;=C3,B42+1,0),IF(A43&lt;=C3+C5,B42+1,0)))</f>
        <v>0</v>
      </c>
      <c r="C43" s="3">
        <f>IF(AND(B43&gt;0,ISNUMBER(B43)),(-PMT((C4/12),C3,C2)),IF(B43=0,0,0))</f>
        <v>0</v>
      </c>
      <c r="D43" s="3">
        <f>IF(B43&lt;C3+1,(F43*C4)/12,0)</f>
        <v>0</v>
      </c>
      <c r="E43" s="3">
        <f>IF(B43&lt;=C3,C43-D43,0)</f>
        <v>0</v>
      </c>
      <c r="F43" s="3">
        <f>IF(AND(B43=1,B43&lt;&gt;0),C2,IF(B43=0,0,IF(AND(B43&gt;1,B43&lt;&gt;0,B43&lt;=C3),F42-E42,0)))</f>
        <v>0</v>
      </c>
    </row>
    <row r="44" spans="1:6" x14ac:dyDescent="0.25">
      <c r="A44">
        <v>36</v>
      </c>
      <c r="B44">
        <f>IF(AND(C5&lt;=1,A44=1),1,IF(C5&lt;=0,IF(A44&lt;=C3,B43+1,0),IF(A44&lt;=C3+C5,B43+1,0)))</f>
        <v>0</v>
      </c>
      <c r="C44" s="3">
        <f>IF(AND(B44&gt;0,ISNUMBER(B44)),(-PMT((C4/12),C3,C2)),IF(B44=0,0,0))</f>
        <v>0</v>
      </c>
      <c r="D44" s="3">
        <f>IF(B44&lt;C3+1,(F44*C4)/12,0)</f>
        <v>0</v>
      </c>
      <c r="E44" s="3">
        <f>IF(B44&lt;=C3,C44-D44,0)</f>
        <v>0</v>
      </c>
      <c r="F44" s="3">
        <f>IF(AND(B44=1,B44&lt;&gt;0),C2,IF(B44=0,0,IF(AND(B44&gt;1,B44&lt;&gt;0,B44&lt;=C3),F43-E43,0)))</f>
        <v>0</v>
      </c>
    </row>
    <row r="45" spans="1:6" x14ac:dyDescent="0.25">
      <c r="A45">
        <v>37</v>
      </c>
      <c r="B45">
        <f>IF(AND(C5&lt;=1,A45=1),1,IF(C5&lt;=0,IF(A45&lt;=C3,B44+1,0),IF(A45&lt;=C3+C5,B44+1,0)))</f>
        <v>0</v>
      </c>
      <c r="C45" s="3">
        <f>IF(AND(B45&gt;0,ISNUMBER(B45)),(-PMT((C4/12),C3,C2)),IF(B45=0,0,0))</f>
        <v>0</v>
      </c>
      <c r="D45" s="3">
        <f>IF(B45&lt;C3+1,(F45*C4)/12,0)</f>
        <v>0</v>
      </c>
      <c r="E45" s="3">
        <f>IF(B45&lt;=C3,C45-D45,0)</f>
        <v>0</v>
      </c>
      <c r="F45" s="3">
        <f>IF(AND(B45=1,B45&lt;&gt;0),C2,IF(B45=0,0,IF(AND(B45&gt;1,B45&lt;&gt;0,B45&lt;=C3),F44-E44,0)))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activeCell="F4" sqref="F4"/>
    </sheetView>
  </sheetViews>
  <sheetFormatPr defaultRowHeight="15" x14ac:dyDescent="0.25"/>
  <cols>
    <col min="1" max="1" width="21.140625" bestFit="1" customWidth="1"/>
    <col min="2" max="2" width="16.42578125" bestFit="1" customWidth="1"/>
    <col min="3" max="3" width="17.5703125" bestFit="1" customWidth="1"/>
    <col min="4" max="4" width="11.7109375" bestFit="1" customWidth="1"/>
    <col min="5" max="5" width="16.42578125" bestFit="1" customWidth="1"/>
    <col min="6" max="6" width="15.28515625" bestFit="1" customWidth="1"/>
    <col min="7" max="7" width="35.28515625" bestFit="1" customWidth="1"/>
    <col min="8" max="37" width="11.7109375" bestFit="1" customWidth="1"/>
  </cols>
  <sheetData>
    <row r="1" spans="1:37" x14ac:dyDescent="0.25">
      <c r="A1" s="4" t="s">
        <v>48</v>
      </c>
      <c r="B1" s="4" t="s">
        <v>49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</row>
    <row r="2" spans="1:37" x14ac:dyDescent="0.25">
      <c r="A2" s="20" t="s">
        <v>242</v>
      </c>
      <c r="B2" s="19">
        <v>0</v>
      </c>
      <c r="C2" s="18">
        <v>0.15</v>
      </c>
      <c r="D2" s="19">
        <v>0</v>
      </c>
      <c r="E2" s="20">
        <v>1</v>
      </c>
      <c r="F2" s="20">
        <v>36</v>
      </c>
      <c r="G2" s="20">
        <v>0</v>
      </c>
    </row>
    <row r="3" spans="1:37" x14ac:dyDescent="0.25">
      <c r="A3" s="20" t="s">
        <v>242</v>
      </c>
      <c r="B3" s="19">
        <v>0</v>
      </c>
      <c r="C3" s="18">
        <v>0.15</v>
      </c>
      <c r="D3" s="19">
        <v>0</v>
      </c>
      <c r="E3" s="20">
        <v>1</v>
      </c>
      <c r="F3" s="20">
        <v>36</v>
      </c>
      <c r="G3" s="20">
        <v>0</v>
      </c>
    </row>
    <row r="4" spans="1:37" x14ac:dyDescent="0.25">
      <c r="A4" s="20" t="s">
        <v>242</v>
      </c>
      <c r="B4" s="19">
        <v>0</v>
      </c>
      <c r="C4" s="18">
        <v>0.15</v>
      </c>
      <c r="D4" s="19">
        <v>0</v>
      </c>
      <c r="E4" s="20">
        <v>13</v>
      </c>
      <c r="F4" s="20">
        <v>36</v>
      </c>
      <c r="G4" s="20">
        <v>0</v>
      </c>
    </row>
    <row r="7" spans="1:37" x14ac:dyDescent="0.25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</row>
    <row r="8" spans="1:37" x14ac:dyDescent="0.25">
      <c r="A8" t="str">
        <f>A2</f>
        <v>Placeholder</v>
      </c>
      <c r="B8" s="3">
        <f>IF(AND(B7&gt;=E2,B7&lt;=F2),((B2*(1+C2)+D2)/12),0)*G2</f>
        <v>0</v>
      </c>
      <c r="C8" s="3">
        <f>IF(AND(C7&gt;=E2,C7&lt;=F2),((B2*(1+C2)+D2)/12),0)*G2</f>
        <v>0</v>
      </c>
      <c r="D8" s="3">
        <f>IF(AND(D7&gt;=E2,D7&lt;=F2),((B2*(1+C2)+D2)/12),0)*G2</f>
        <v>0</v>
      </c>
      <c r="E8" s="3">
        <f>IF(AND(E7&gt;=E2,E7&lt;=F2),((B2*(1+C2)+D2)/12),0)*G2</f>
        <v>0</v>
      </c>
      <c r="F8" s="3">
        <f>IF(AND(F7&gt;=E2,F7&lt;=F2),((B2*(1+C2)+D2)/12),0)*G2</f>
        <v>0</v>
      </c>
      <c r="G8" s="3">
        <f>IF(AND(G7&gt;=E2,G7&lt;=F2),((B2*(1+C2)+D2)/12),0)*G2</f>
        <v>0</v>
      </c>
      <c r="H8" s="3">
        <f>IF(AND(H7&gt;=E2,H7&lt;=F2),((B2*(1+C2)+D2)/12),0)*G2</f>
        <v>0</v>
      </c>
      <c r="I8" s="3">
        <f>IF(AND(I7&gt;=E2,I7&lt;=F2),((B2*(1+C2)+D2)/12),0)*G2</f>
        <v>0</v>
      </c>
      <c r="J8" s="3">
        <f>IF(AND(J7&gt;=E2,J7&lt;=F2),((B2*(1+C2)+D2)/12),0)*G2</f>
        <v>0</v>
      </c>
      <c r="K8" s="3">
        <f>IF(AND(K7&gt;=E2,K7&lt;=F2),((B2*(1+C2)+D2)/12),0)*G2</f>
        <v>0</v>
      </c>
      <c r="L8" s="3">
        <f>IF(AND(L7&gt;=E2,L7&lt;=F2),((B2*(1+C2)+D2)/12),0)*G2</f>
        <v>0</v>
      </c>
      <c r="M8" s="3">
        <f>IF(AND(M7&gt;=E2,M7&lt;=F2),((B2*(1+C2)+D2)/12),0)*G2</f>
        <v>0</v>
      </c>
      <c r="N8" s="3">
        <f>IF(AND(N7&gt;=E2,N7&lt;=F2),((B2*(1+C2)+D2)/12),0)*G2</f>
        <v>0</v>
      </c>
      <c r="O8" s="3">
        <f>IF(AND(O7&gt;=E2,O7&lt;=F2),((B2*(1+C2)+D2)/12),0)*G2</f>
        <v>0</v>
      </c>
      <c r="P8" s="3">
        <f>IF(AND(P7&gt;=E2,P7&lt;=F2),((B2*(1+C2)+D2)/12),0)*G2</f>
        <v>0</v>
      </c>
      <c r="Q8" s="3">
        <f>IF(AND(Q7&gt;=E2,Q7&lt;=F2),((B2*(1+C2)+D2)/12),0)*G2</f>
        <v>0</v>
      </c>
      <c r="R8" s="3">
        <f>IF(AND(R7&gt;=E2,R7&lt;=F2),((B2*(1+C2)+D2)/12),0)*G2</f>
        <v>0</v>
      </c>
      <c r="S8" s="3">
        <f>IF(AND(S7&gt;=E2,S7&lt;=F2),((B2*(1+C2)+D2)/12),0)*G2</f>
        <v>0</v>
      </c>
      <c r="T8" s="3">
        <f>IF(AND(T7&gt;=E2,T7&lt;=F2),((B2*(1+C2)+D2)/12),0)*G2</f>
        <v>0</v>
      </c>
      <c r="U8" s="3">
        <f>IF(AND(U7&gt;=E2,U7&lt;=F2),((B2*(1+C2)+D2)/12),0)*G2</f>
        <v>0</v>
      </c>
      <c r="V8" s="3">
        <f>IF(AND(V7&gt;=E2,V7&lt;=F2),((B2*(1+C2)+D2)/12),0)*G2</f>
        <v>0</v>
      </c>
      <c r="W8" s="3">
        <f>IF(AND(W7&gt;=E2,W7&lt;=F2),((B2*(1+C2)+D2)/12),0)*G2</f>
        <v>0</v>
      </c>
      <c r="X8" s="3">
        <f>IF(AND(X7&gt;=E2,X7&lt;=F2),((B2*(1+C2)+D2)/12),0)*G2</f>
        <v>0</v>
      </c>
      <c r="Y8" s="3">
        <f>IF(AND(Y7&gt;=E2,Y7&lt;=F2),((B2*(1+C2)+D2)/12),0)*G2</f>
        <v>0</v>
      </c>
      <c r="Z8" s="3">
        <f>IF(AND(Z7&gt;=E2,Z7&lt;=F2),((B2*(1+C2)+D2)/12),0)*G2</f>
        <v>0</v>
      </c>
      <c r="AA8" s="3">
        <f>IF(AND(AA7&gt;=E2,AA7&lt;=F2),((B2*(1+C2)+D2)/12),0)*G2</f>
        <v>0</v>
      </c>
      <c r="AB8" s="3">
        <f>IF(AND(AB7&gt;=E2,AB7&lt;=F2),((B2*(1+C2)+D2)/12),0)*G2</f>
        <v>0</v>
      </c>
      <c r="AC8" s="3">
        <f>IF(AND(AC7&gt;=E2,AC7&lt;=F2),((B2*(1+C2)+D2)/12),0)*G2</f>
        <v>0</v>
      </c>
      <c r="AD8" s="3">
        <f>IF(AND(AD7&gt;=E2,AD7&lt;=F2),((B2*(1+C2)+D2)/12),0)*G2</f>
        <v>0</v>
      </c>
      <c r="AE8" s="3">
        <f>IF(AND(AE7&gt;=E2,AE7&lt;=F2),((B2*(1+C2)+D2)/12),0)*G2</f>
        <v>0</v>
      </c>
      <c r="AF8" s="3">
        <f>IF(AND(AF7&gt;=E2,AF7&lt;=F2),((B2*(1+C2)+D2)/12),0)*G2</f>
        <v>0</v>
      </c>
      <c r="AG8" s="3">
        <f>IF(AND(AG7&gt;=E2,AG7&lt;=F2),((B2*(1+C2)+D2)/12),0)*G2</f>
        <v>0</v>
      </c>
      <c r="AH8" s="3">
        <f>IF(AND(AH7&gt;=E2,AH7&lt;=F2),((B2*(1+C2)+D2)/12),0)*G2</f>
        <v>0</v>
      </c>
      <c r="AI8" s="3">
        <f>IF(AND(AI7&gt;=E2,AI7&lt;=F2),((B2*(1+C2)+D2)/12),0)*G2</f>
        <v>0</v>
      </c>
      <c r="AJ8" s="3">
        <f>IF(AND(AJ7&gt;=E2,AJ7&lt;=F2),((B2*(1+C2)+D2)/12),0)*G2</f>
        <v>0</v>
      </c>
      <c r="AK8" s="3">
        <f>IF(AND(AK7&gt;=E2,AK7&lt;=F2),((B2*(1+C2)+D2)/12),0)*G2</f>
        <v>0</v>
      </c>
    </row>
    <row r="9" spans="1:37" x14ac:dyDescent="0.25">
      <c r="A9" t="str">
        <f>A3</f>
        <v>Placeholder</v>
      </c>
      <c r="B9" s="3">
        <f>IF(AND(B7&gt;=E3,B7&lt;=F3),((B3*(1+C3)+D3)/12),0)*G3</f>
        <v>0</v>
      </c>
      <c r="C9" s="3">
        <f>IF(AND(C7&gt;=E3,C7&lt;=F3),((B3*(1+C3)+D3)/12),0)*G3</f>
        <v>0</v>
      </c>
      <c r="D9" s="3">
        <f>IF(AND(D7&gt;=E3,D7&lt;=F3),((B3*(1+C3)+D3)/12),0)*G3</f>
        <v>0</v>
      </c>
      <c r="E9" s="3">
        <f>IF(AND(E7&gt;=E3,E7&lt;=F3),((B3*(1+C3)+D3)/12),0)*G3</f>
        <v>0</v>
      </c>
      <c r="F9" s="3">
        <f>IF(AND(F7&gt;=E3,F7&lt;=F3),((B3*(1+C3)+D3)/12),0)*G3</f>
        <v>0</v>
      </c>
      <c r="G9" s="3">
        <f>IF(AND(G7&gt;=E3,G7&lt;=F3),((B3*(1+C3)+D3)/12),0)*G3</f>
        <v>0</v>
      </c>
      <c r="H9" s="3">
        <f>IF(AND(H7&gt;=E3,H7&lt;=F3),((B3*(1+C3)+D3)/12),0)*G3</f>
        <v>0</v>
      </c>
      <c r="I9" s="3">
        <f>IF(AND(I7&gt;=E3,I7&lt;=F3),((B3*(1+C3)+D3)/12),0)*G3</f>
        <v>0</v>
      </c>
      <c r="J9" s="3">
        <f>IF(AND(J7&gt;=E3,J7&lt;=F3),((B3*(1+C3)+D3)/12),0)*G3</f>
        <v>0</v>
      </c>
      <c r="K9" s="3">
        <f>IF(AND(K7&gt;=E3,K7&lt;=F3),((B3*(1+C3)+D3)/12),0)*G3</f>
        <v>0</v>
      </c>
      <c r="L9" s="3">
        <f>IF(AND(L7&gt;=E3,L7&lt;=F3),((B3*(1+C3)+D3)/12),0)*G3</f>
        <v>0</v>
      </c>
      <c r="M9" s="3">
        <f>IF(AND(M7&gt;=E3,M7&lt;=F3),((B3*(1+C3)+D3)/12),0)*G3</f>
        <v>0</v>
      </c>
      <c r="N9" s="3">
        <f>IF(AND(N7&gt;=E3,N7&lt;=F3),((B3*(1+C3)+D3)/12),0)*G3</f>
        <v>0</v>
      </c>
      <c r="O9" s="3">
        <f>IF(AND(O7&gt;=E3,O7&lt;=F3),((B3*(1+C3)+D3)/12),0)*G3</f>
        <v>0</v>
      </c>
      <c r="P9" s="3">
        <f>IF(AND(P7&gt;=E3,P7&lt;=F3),((B3*(1+C3)+D3)/12),0)*G3</f>
        <v>0</v>
      </c>
      <c r="Q9" s="3">
        <f>IF(AND(Q7&gt;=E3,Q7&lt;=F3),((B3*(1+C3)+D3)/12),0)*G3</f>
        <v>0</v>
      </c>
      <c r="R9" s="3">
        <f>IF(AND(R7&gt;=E3,R7&lt;=F3),((B3*(1+C3)+D3)/12),0)*G3</f>
        <v>0</v>
      </c>
      <c r="S9" s="3">
        <f>IF(AND(S7&gt;=E3,S7&lt;=F3),((B3*(1+C3)+D3)/12),0)*G3</f>
        <v>0</v>
      </c>
      <c r="T9" s="3">
        <f>IF(AND(T7&gt;=E3,T7&lt;=F3),((B3*(1+C3)+D3)/12),0)*G3</f>
        <v>0</v>
      </c>
      <c r="U9" s="3">
        <f>IF(AND(U7&gt;=E3,U7&lt;=F3),((B3*(1+C3)+D3)/12),0)*G3</f>
        <v>0</v>
      </c>
      <c r="V9" s="3">
        <f>IF(AND(V7&gt;=E3,V7&lt;=F3),((B3*(1+C3)+D3)/12),0)*G3</f>
        <v>0</v>
      </c>
      <c r="W9" s="3">
        <f>IF(AND(W7&gt;=E3,W7&lt;=F3),((B3*(1+C3)+D3)/12),0)*G3</f>
        <v>0</v>
      </c>
      <c r="X9" s="3">
        <f>IF(AND(X7&gt;=E3,X7&lt;=F3),((B3*(1+C3)+D3)/12),0)*G3</f>
        <v>0</v>
      </c>
      <c r="Y9" s="3">
        <f>IF(AND(Y7&gt;=E3,Y7&lt;=F3),((B3*(1+C3)+D3)/12),0)*G3</f>
        <v>0</v>
      </c>
      <c r="Z9" s="3">
        <f>IF(AND(Z7&gt;=E3,Z7&lt;=F3),((B3*(1+C3)+D3)/12),0)*G3</f>
        <v>0</v>
      </c>
      <c r="AA9" s="3">
        <f>IF(AND(AA7&gt;=E3,AA7&lt;=F3),((B3*(1+C3)+D3)/12),0)*G3</f>
        <v>0</v>
      </c>
      <c r="AB9" s="3">
        <f>IF(AND(AB7&gt;=E3,AB7&lt;=F3),((B3*(1+C3)+D3)/12),0)*G3</f>
        <v>0</v>
      </c>
      <c r="AC9" s="3">
        <f>IF(AND(AC7&gt;=E3,AC7&lt;=F3),((B3*(1+C3)+D3)/12),0)*G3</f>
        <v>0</v>
      </c>
      <c r="AD9" s="3">
        <f>IF(AND(AD7&gt;=E3,AD7&lt;=F3),((B3*(1+C3)+D3)/12),0)*G3</f>
        <v>0</v>
      </c>
      <c r="AE9" s="3">
        <f>IF(AND(AE7&gt;=E3,AE7&lt;=F3),((B3*(1+C3)+D3)/12),0)*G3</f>
        <v>0</v>
      </c>
      <c r="AF9" s="3">
        <f>IF(AND(AF7&gt;=E3,AF7&lt;=F3),((B3*(1+C3)+D3)/12),0)*G3</f>
        <v>0</v>
      </c>
      <c r="AG9" s="3">
        <f>IF(AND(AG7&gt;=E3,AG7&lt;=F3),((B3*(1+C3)+D3)/12),0)*G3</f>
        <v>0</v>
      </c>
      <c r="AH9" s="3">
        <f>IF(AND(AH7&gt;=E3,AH7&lt;=F3),((B3*(1+C3)+D3)/12),0)*G3</f>
        <v>0</v>
      </c>
      <c r="AI9" s="3">
        <f>IF(AND(AI7&gt;=E3,AI7&lt;=F3),((B3*(1+C3)+D3)/12),0)*G3</f>
        <v>0</v>
      </c>
      <c r="AJ9" s="3">
        <f>IF(AND(AJ7&gt;=E3,AJ7&lt;=F3),((B3*(1+C3)+D3)/12),0)*G3</f>
        <v>0</v>
      </c>
      <c r="AK9" s="3">
        <f>IF(AND(AK7&gt;=E3,AK7&lt;=F3),((B3*(1+C3)+D3)/12),0)*G3</f>
        <v>0</v>
      </c>
    </row>
    <row r="10" spans="1:37" x14ac:dyDescent="0.25">
      <c r="A10" t="str">
        <f>A4</f>
        <v>Placeholder</v>
      </c>
      <c r="B10" s="3">
        <f>IF(AND(B7&gt;=E4,B7&lt;=F4),((B4*(1+C4)+D4)/12),0)*G4</f>
        <v>0</v>
      </c>
      <c r="C10" s="3">
        <f>IF(AND(C7&gt;=E4,C7&lt;=F4),((B4*(1+C4)+D4)/12),0)*G4</f>
        <v>0</v>
      </c>
      <c r="D10" s="3">
        <f>IF(AND(D7&gt;=E4,D7&lt;=F4),((B4*(1+C4)+D4)/12),0)*G4</f>
        <v>0</v>
      </c>
      <c r="E10" s="3">
        <f>IF(AND(E7&gt;=E4,E7&lt;=F4),((B4*(1+C4)+D4)/12),0)*G4</f>
        <v>0</v>
      </c>
      <c r="F10" s="3">
        <f>IF(AND(F7&gt;=E4,F7&lt;=F4),((B4*(1+C4)+D4)/12),0)*G4</f>
        <v>0</v>
      </c>
      <c r="G10" s="3">
        <f>IF(AND(G7&gt;=E4,G7&lt;=F4),((B4*(1+C4)+D4)/12),0)*G4</f>
        <v>0</v>
      </c>
      <c r="H10" s="3">
        <f>IF(AND(H7&gt;=E4,H7&lt;=F4),((B4*(1+C4)+D4)/12),0)*G4</f>
        <v>0</v>
      </c>
      <c r="I10" s="3">
        <f>IF(AND(I7&gt;=E4,I7&lt;=F4),((B4*(1+C4)+D4)/12),0)*G4</f>
        <v>0</v>
      </c>
      <c r="J10" s="3">
        <f>IF(AND(J7&gt;=E4,J7&lt;=F4),((B4*(1+C4)+D4)/12),0)*G4</f>
        <v>0</v>
      </c>
      <c r="K10" s="3">
        <f>IF(AND(K7&gt;=E4,K7&lt;=F4),((B4*(1+C4)+D4)/12),0)*G4</f>
        <v>0</v>
      </c>
      <c r="L10" s="3">
        <f>IF(AND(L7&gt;=E4,L7&lt;=F4),((B4*(1+C4)+D4)/12),0)*G4</f>
        <v>0</v>
      </c>
      <c r="M10" s="3">
        <f>IF(AND(M7&gt;=E4,M7&lt;=F4),((B4*(1+C4)+D4)/12),0)*G4</f>
        <v>0</v>
      </c>
      <c r="N10" s="3">
        <f>IF(AND(N7&gt;=E4,N7&lt;=F4),((B4*(1+C4)+D4)/12),0)*G4</f>
        <v>0</v>
      </c>
      <c r="O10" s="3">
        <f>IF(AND(O7&gt;=E4,O7&lt;=F4),((B4*(1+C4)+D4)/12),0)*G4</f>
        <v>0</v>
      </c>
      <c r="P10" s="3">
        <f>IF(AND(P7&gt;=E4,P7&lt;=F4),((B4*(1+C4)+D4)/12),0)*G4</f>
        <v>0</v>
      </c>
      <c r="Q10" s="3">
        <f>IF(AND(Q7&gt;=E4,Q7&lt;=F4),((B4*(1+C4)+D4)/12),0)*G4</f>
        <v>0</v>
      </c>
      <c r="R10" s="3">
        <f>IF(AND(R7&gt;=E4,R7&lt;=F4),((B4*(1+C4)+D4)/12),0)*G4</f>
        <v>0</v>
      </c>
      <c r="S10" s="3">
        <f>IF(AND(S7&gt;=E4,S7&lt;=F4),((B4*(1+C4)+D4)/12),0)*G4</f>
        <v>0</v>
      </c>
      <c r="T10" s="3">
        <f>IF(AND(T7&gt;=E4,T7&lt;=F4),((B4*(1+C4)+D4)/12),0)*G4</f>
        <v>0</v>
      </c>
      <c r="U10" s="3">
        <f>IF(AND(U7&gt;=E4,U7&lt;=F4),((B4*(1+C4)+D4)/12),0)*G4</f>
        <v>0</v>
      </c>
      <c r="V10" s="3">
        <f>IF(AND(V7&gt;=E4,V7&lt;=F4),((B4*(1+C4)+D4)/12),0)*G4</f>
        <v>0</v>
      </c>
      <c r="W10" s="3">
        <f>IF(AND(W7&gt;=E4,W7&lt;=F4),((B4*(1+C4)+D4)/12),0)*G4</f>
        <v>0</v>
      </c>
      <c r="X10" s="3">
        <f>IF(AND(X7&gt;=E4,X7&lt;=F4),((B4*(1+C4)+D4)/12),0)*G4</f>
        <v>0</v>
      </c>
      <c r="Y10" s="3">
        <f>IF(AND(Y7&gt;=E4,Y7&lt;=F4),((B4*(1+C4)+D4)/12),0)*G4</f>
        <v>0</v>
      </c>
      <c r="Z10" s="3">
        <f>IF(AND(Z7&gt;=E4,Z7&lt;=F4),((B4*(1+C4)+D4)/12),0)*G4</f>
        <v>0</v>
      </c>
      <c r="AA10" s="3">
        <f>IF(AND(AA7&gt;=E4,AA7&lt;=F4),((B4*(1+C4)+D4)/12),0)*G4</f>
        <v>0</v>
      </c>
      <c r="AB10" s="3">
        <f>IF(AND(AB7&gt;=E4,AB7&lt;=F4),((B4*(1+C4)+D4)/12),0)*G4</f>
        <v>0</v>
      </c>
      <c r="AC10" s="3">
        <f>IF(AND(AC7&gt;=E4,AC7&lt;=F4),((B4*(1+C4)+D4)/12),0)*G4</f>
        <v>0</v>
      </c>
      <c r="AD10" s="3">
        <f>IF(AND(AD7&gt;=E4,AD7&lt;=F4),((B4*(1+C4)+D4)/12),0)*G4</f>
        <v>0</v>
      </c>
      <c r="AE10" s="3">
        <f>IF(AND(AE7&gt;=E4,AE7&lt;=F4),((B4*(1+C4)+D4)/12),0)*G4</f>
        <v>0</v>
      </c>
      <c r="AF10" s="3">
        <f>IF(AND(AF7&gt;=E4,AF7&lt;=F4),((B4*(1+C4)+D4)/12),0)*G4</f>
        <v>0</v>
      </c>
      <c r="AG10" s="3">
        <f>IF(AND(AG7&gt;=E4,AG7&lt;=F4),((B4*(1+C4)+D4)/12),0)*G4</f>
        <v>0</v>
      </c>
      <c r="AH10" s="3">
        <f>IF(AND(AH7&gt;=E4,AH7&lt;=F4),((B4*(1+C4)+D4)/12),0)*G4</f>
        <v>0</v>
      </c>
      <c r="AI10" s="3">
        <f>IF(AND(AI7&gt;=E4,AI7&lt;=F4),((B4*(1+C4)+D4)/12),0)*G4</f>
        <v>0</v>
      </c>
      <c r="AJ10" s="3">
        <f>IF(AND(AJ7&gt;=E4,AJ7&lt;=F4),((B4*(1+C4)+D4)/12),0)*G4</f>
        <v>0</v>
      </c>
      <c r="AK10" s="3">
        <f>IF(AND(AK7&gt;=E4,AK7&lt;=F4),((B4*(1+C4)+D4)/12),0)*G4</f>
        <v>0</v>
      </c>
    </row>
    <row r="12" spans="1:37" x14ac:dyDescent="0.25">
      <c r="A12" s="4" t="s">
        <v>55</v>
      </c>
      <c r="B12" s="3">
        <f t="shared" ref="B12:AK12" si="0">SUM(B8:B11)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0"/>
        <v>0</v>
      </c>
      <c r="Q12" s="3">
        <f t="shared" si="0"/>
        <v>0</v>
      </c>
      <c r="R12" s="3">
        <f t="shared" si="0"/>
        <v>0</v>
      </c>
      <c r="S12" s="3">
        <f t="shared" si="0"/>
        <v>0</v>
      </c>
      <c r="T12" s="3">
        <f t="shared" si="0"/>
        <v>0</v>
      </c>
      <c r="U12" s="3">
        <f t="shared" si="0"/>
        <v>0</v>
      </c>
      <c r="V12" s="3">
        <f t="shared" si="0"/>
        <v>0</v>
      </c>
      <c r="W12" s="3">
        <f t="shared" si="0"/>
        <v>0</v>
      </c>
      <c r="X12" s="3">
        <f t="shared" si="0"/>
        <v>0</v>
      </c>
      <c r="Y12" s="3">
        <f t="shared" si="0"/>
        <v>0</v>
      </c>
      <c r="Z12" s="3">
        <f t="shared" si="0"/>
        <v>0</v>
      </c>
      <c r="AA12" s="3">
        <f t="shared" si="0"/>
        <v>0</v>
      </c>
      <c r="AB12" s="3">
        <f t="shared" si="0"/>
        <v>0</v>
      </c>
      <c r="AC12" s="3">
        <f t="shared" si="0"/>
        <v>0</v>
      </c>
      <c r="AD12" s="3">
        <f t="shared" si="0"/>
        <v>0</v>
      </c>
      <c r="AE12" s="3">
        <f t="shared" si="0"/>
        <v>0</v>
      </c>
      <c r="AF12" s="3">
        <f t="shared" si="0"/>
        <v>0</v>
      </c>
      <c r="AG12" s="3">
        <f t="shared" si="0"/>
        <v>0</v>
      </c>
      <c r="AH12" s="3">
        <f t="shared" si="0"/>
        <v>0</v>
      </c>
      <c r="AI12" s="3">
        <f t="shared" si="0"/>
        <v>0</v>
      </c>
      <c r="AJ12" s="3">
        <f t="shared" si="0"/>
        <v>0</v>
      </c>
      <c r="AK12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" sqref="B3"/>
    </sheetView>
  </sheetViews>
  <sheetFormatPr defaultRowHeight="15" x14ac:dyDescent="0.25"/>
  <cols>
    <col min="1" max="1" width="40" customWidth="1"/>
    <col min="2" max="3" width="14" bestFit="1" customWidth="1"/>
    <col min="4" max="4" width="15.28515625" bestFit="1" customWidth="1"/>
    <col min="5" max="5" width="24.7109375" bestFit="1" customWidth="1"/>
  </cols>
  <sheetData>
    <row r="1" spans="1:5" x14ac:dyDescent="0.25">
      <c r="A1" s="4" t="s">
        <v>56</v>
      </c>
      <c r="C1" t="s">
        <v>57</v>
      </c>
      <c r="D1" t="s">
        <v>17</v>
      </c>
      <c r="E1" t="s">
        <v>37</v>
      </c>
    </row>
    <row r="2" spans="1:5" x14ac:dyDescent="0.25">
      <c r="A2" s="4" t="s">
        <v>58</v>
      </c>
      <c r="B2" s="3">
        <f>DATA!B8</f>
        <v>0</v>
      </c>
    </row>
    <row r="3" spans="1:5" x14ac:dyDescent="0.25">
      <c r="A3" s="4" t="str">
        <f>DATA!A23</f>
        <v>Various Equipment</v>
      </c>
      <c r="B3" s="3">
        <f>DATA!B23</f>
        <v>8500</v>
      </c>
      <c r="C3">
        <f>DATA!C23</f>
        <v>7</v>
      </c>
      <c r="D3" s="3">
        <f>DATA!D23</f>
        <v>0</v>
      </c>
      <c r="E3" s="3">
        <f>((B3-D3)/C3)/12</f>
        <v>101.19047619047619</v>
      </c>
    </row>
    <row r="4" spans="1:5" x14ac:dyDescent="0.25">
      <c r="A4" s="4" t="str">
        <f>DATA!A26</f>
        <v>Leasehold Improvements</v>
      </c>
      <c r="B4" s="3">
        <f>DATA!B26</f>
        <v>82000</v>
      </c>
      <c r="C4">
        <f>DATA!C26</f>
        <v>7</v>
      </c>
      <c r="D4" s="3">
        <f>DATA!D26</f>
        <v>0</v>
      </c>
      <c r="E4" s="3">
        <f>((B4-D4)/C4)/12</f>
        <v>976.19047619047615</v>
      </c>
    </row>
    <row r="5" spans="1:5" x14ac:dyDescent="0.25">
      <c r="A5" s="4" t="s">
        <v>59</v>
      </c>
      <c r="B5" s="19">
        <v>1000</v>
      </c>
    </row>
    <row r="6" spans="1:5" x14ac:dyDescent="0.25">
      <c r="A6" s="4" t="s">
        <v>241</v>
      </c>
      <c r="B6" s="19">
        <v>0</v>
      </c>
    </row>
    <row r="8" spans="1:5" x14ac:dyDescent="0.25">
      <c r="A8" s="4" t="s">
        <v>61</v>
      </c>
      <c r="B8" s="3">
        <f>SUM(B2:B6)</f>
        <v>91500</v>
      </c>
    </row>
    <row r="10" spans="1:5" x14ac:dyDescent="0.25">
      <c r="A10" s="4" t="s">
        <v>62</v>
      </c>
    </row>
    <row r="11" spans="1:5" x14ac:dyDescent="0.25">
      <c r="A11" s="4" t="s">
        <v>63</v>
      </c>
      <c r="B11" s="19">
        <v>0</v>
      </c>
    </row>
    <row r="12" spans="1:5" x14ac:dyDescent="0.25">
      <c r="A12" s="4" t="s">
        <v>64</v>
      </c>
      <c r="B12" s="3">
        <f>IF(DATA!C18=0,DATA!B18,0)</f>
        <v>0</v>
      </c>
    </row>
    <row r="13" spans="1:5" x14ac:dyDescent="0.25">
      <c r="A13" s="4" t="s">
        <v>65</v>
      </c>
      <c r="B13" s="3">
        <f>IF(LoanModule!C5=-1,LoanModule!C2,0)</f>
        <v>0</v>
      </c>
    </row>
    <row r="16" spans="1:5" x14ac:dyDescent="0.25">
      <c r="A16" s="4" t="s">
        <v>66</v>
      </c>
    </row>
    <row r="17" spans="1:2" x14ac:dyDescent="0.25">
      <c r="A17" t="s">
        <v>14</v>
      </c>
      <c r="B17" s="3">
        <f>SUM(B3:B3)</f>
        <v>8500</v>
      </c>
    </row>
    <row r="18" spans="1:2" x14ac:dyDescent="0.25">
      <c r="A18" t="s">
        <v>19</v>
      </c>
      <c r="B18" s="3">
        <f>SUM(B4:B4)</f>
        <v>82000</v>
      </c>
    </row>
    <row r="19" spans="1:2" x14ac:dyDescent="0.25">
      <c r="A19" s="4" t="s">
        <v>58</v>
      </c>
      <c r="B19" s="3">
        <f>DATA!B8</f>
        <v>0</v>
      </c>
    </row>
    <row r="20" spans="1:2" x14ac:dyDescent="0.25">
      <c r="A20" s="4" t="s">
        <v>67</v>
      </c>
      <c r="B20" s="3">
        <v>0</v>
      </c>
    </row>
    <row r="21" spans="1:2" x14ac:dyDescent="0.25">
      <c r="A21" s="4" t="s">
        <v>60</v>
      </c>
      <c r="B21" s="3">
        <f>B6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7"/>
  <sheetViews>
    <sheetView topLeftCell="A36" workbookViewId="0">
      <selection activeCell="A58" sqref="A58"/>
    </sheetView>
  </sheetViews>
  <sheetFormatPr defaultRowHeight="15" x14ac:dyDescent="0.25"/>
  <cols>
    <col min="1" max="1" width="17.85546875" bestFit="1" customWidth="1"/>
    <col min="2" max="2" width="12.140625" bestFit="1" customWidth="1"/>
  </cols>
  <sheetData>
    <row r="3" spans="1:2" x14ac:dyDescent="0.25">
      <c r="A3" s="48" t="s">
        <v>226</v>
      </c>
      <c r="B3" s="48" t="s">
        <v>227</v>
      </c>
    </row>
    <row r="4" spans="1:2" x14ac:dyDescent="0.25">
      <c r="A4" s="48" t="s">
        <v>228</v>
      </c>
      <c r="B4" s="49">
        <v>40</v>
      </c>
    </row>
    <row r="5" spans="1:2" x14ac:dyDescent="0.25">
      <c r="A5" s="48" t="s">
        <v>228</v>
      </c>
      <c r="B5" s="49">
        <v>500</v>
      </c>
    </row>
    <row r="6" spans="1:2" x14ac:dyDescent="0.25">
      <c r="A6" s="48" t="s">
        <v>24</v>
      </c>
      <c r="B6" s="49">
        <v>540.16999999999996</v>
      </c>
    </row>
    <row r="7" spans="1:2" x14ac:dyDescent="0.25">
      <c r="A7" s="48" t="s">
        <v>24</v>
      </c>
      <c r="B7" s="49">
        <v>800</v>
      </c>
    </row>
    <row r="8" spans="1:2" x14ac:dyDescent="0.25">
      <c r="A8" s="48" t="s">
        <v>24</v>
      </c>
      <c r="B8" s="49">
        <v>600</v>
      </c>
    </row>
    <row r="9" spans="1:2" x14ac:dyDescent="0.25">
      <c r="A9" s="48" t="s">
        <v>229</v>
      </c>
      <c r="B9" s="49">
        <v>520</v>
      </c>
    </row>
    <row r="10" spans="1:2" x14ac:dyDescent="0.25">
      <c r="A10" s="48" t="s">
        <v>230</v>
      </c>
      <c r="B10" s="49">
        <v>1000</v>
      </c>
    </row>
    <row r="11" spans="1:2" x14ac:dyDescent="0.25">
      <c r="A11" s="48" t="s">
        <v>230</v>
      </c>
      <c r="B11" s="49">
        <v>200</v>
      </c>
    </row>
    <row r="12" spans="1:2" x14ac:dyDescent="0.25">
      <c r="A12" s="48" t="s">
        <v>231</v>
      </c>
      <c r="B12" s="49">
        <v>1500</v>
      </c>
    </row>
    <row r="13" spans="1:2" x14ac:dyDescent="0.25">
      <c r="A13" s="48" t="s">
        <v>231</v>
      </c>
      <c r="B13" s="49">
        <v>200</v>
      </c>
    </row>
    <row r="14" spans="1:2" x14ac:dyDescent="0.25">
      <c r="A14" s="48" t="s">
        <v>232</v>
      </c>
      <c r="B14" s="49">
        <v>1000</v>
      </c>
    </row>
    <row r="15" spans="1:2" x14ac:dyDescent="0.25">
      <c r="A15" s="48"/>
      <c r="B15" s="49">
        <f>SUM(B4:B14)</f>
        <v>6900.17</v>
      </c>
    </row>
    <row r="16" spans="1:2" x14ac:dyDescent="0.25">
      <c r="A16" s="48" t="s">
        <v>243</v>
      </c>
      <c r="B16" s="49">
        <v>100</v>
      </c>
    </row>
    <row r="17" spans="1:2" x14ac:dyDescent="0.25">
      <c r="A17" s="48" t="s">
        <v>243</v>
      </c>
      <c r="B17" s="49">
        <v>2000</v>
      </c>
    </row>
    <row r="18" spans="1:2" x14ac:dyDescent="0.25">
      <c r="A18" s="48" t="s">
        <v>243</v>
      </c>
      <c r="B18" s="49">
        <v>500</v>
      </c>
    </row>
    <row r="19" spans="1:2" x14ac:dyDescent="0.25">
      <c r="A19" s="48" t="s">
        <v>243</v>
      </c>
      <c r="B19" s="49">
        <v>2000</v>
      </c>
    </row>
    <row r="20" spans="1:2" x14ac:dyDescent="0.25">
      <c r="A20" s="48" t="s">
        <v>243</v>
      </c>
      <c r="B20" s="49">
        <v>0</v>
      </c>
    </row>
    <row r="21" spans="1:2" x14ac:dyDescent="0.25">
      <c r="A21" s="48" t="s">
        <v>243</v>
      </c>
      <c r="B21" s="49">
        <v>800</v>
      </c>
    </row>
    <row r="22" spans="1:2" x14ac:dyDescent="0.25">
      <c r="A22" s="48" t="s">
        <v>243</v>
      </c>
      <c r="B22" s="49">
        <v>1500</v>
      </c>
    </row>
    <row r="23" spans="1:2" x14ac:dyDescent="0.25">
      <c r="A23" s="48" t="s">
        <v>243</v>
      </c>
      <c r="B23" s="49">
        <v>1500</v>
      </c>
    </row>
    <row r="24" spans="1:2" x14ac:dyDescent="0.25">
      <c r="A24" s="48" t="s">
        <v>243</v>
      </c>
      <c r="B24" s="51">
        <v>100</v>
      </c>
    </row>
    <row r="25" spans="1:2" x14ac:dyDescent="0.25">
      <c r="A25" s="48"/>
      <c r="B25" s="51">
        <f>SUM(B16:B24)</f>
        <v>8500</v>
      </c>
    </row>
    <row r="26" spans="1:2" x14ac:dyDescent="0.25">
      <c r="A26" s="48"/>
      <c r="B26" s="51"/>
    </row>
    <row r="27" spans="1:2" x14ac:dyDescent="0.25">
      <c r="A27" s="48" t="s">
        <v>25</v>
      </c>
      <c r="B27" s="49">
        <v>500</v>
      </c>
    </row>
    <row r="28" spans="1:2" x14ac:dyDescent="0.25">
      <c r="A28" s="48" t="s">
        <v>25</v>
      </c>
      <c r="B28" s="52">
        <v>6000</v>
      </c>
    </row>
    <row r="29" spans="1:2" x14ac:dyDescent="0.25">
      <c r="A29" s="48"/>
      <c r="B29" s="52">
        <f>SUM(B27:B28)</f>
        <v>6500</v>
      </c>
    </row>
    <row r="30" spans="1:2" x14ac:dyDescent="0.25">
      <c r="A30" s="48" t="s">
        <v>238</v>
      </c>
      <c r="B30" s="49">
        <v>60000</v>
      </c>
    </row>
    <row r="31" spans="1:2" x14ac:dyDescent="0.25">
      <c r="A31" s="48" t="s">
        <v>238</v>
      </c>
      <c r="B31" s="49">
        <v>22000</v>
      </c>
    </row>
    <row r="32" spans="1:2" x14ac:dyDescent="0.25">
      <c r="A32" s="48"/>
      <c r="B32" s="49">
        <f>SUM(B30:B31)</f>
        <v>82000</v>
      </c>
    </row>
    <row r="33" spans="1:2" x14ac:dyDescent="0.25">
      <c r="A33" s="48"/>
      <c r="B33" s="49"/>
    </row>
    <row r="34" spans="1:2" x14ac:dyDescent="0.25">
      <c r="A34" s="48" t="s">
        <v>233</v>
      </c>
      <c r="B34" s="49">
        <v>2500</v>
      </c>
    </row>
    <row r="35" spans="1:2" x14ac:dyDescent="0.25">
      <c r="A35" s="48" t="s">
        <v>233</v>
      </c>
      <c r="B35" s="49">
        <v>1000</v>
      </c>
    </row>
    <row r="36" spans="1:2" x14ac:dyDescent="0.25">
      <c r="A36" s="48" t="s">
        <v>233</v>
      </c>
      <c r="B36" s="49">
        <v>610</v>
      </c>
    </row>
    <row r="37" spans="1:2" x14ac:dyDescent="0.25">
      <c r="A37" s="48" t="s">
        <v>233</v>
      </c>
      <c r="B37" s="49">
        <v>4500</v>
      </c>
    </row>
    <row r="38" spans="1:2" x14ac:dyDescent="0.25">
      <c r="A38" s="48" t="s">
        <v>233</v>
      </c>
      <c r="B38" s="49">
        <v>250</v>
      </c>
    </row>
    <row r="39" spans="1:2" x14ac:dyDescent="0.25">
      <c r="A39" s="48" t="s">
        <v>233</v>
      </c>
      <c r="B39" s="49">
        <v>345</v>
      </c>
    </row>
    <row r="40" spans="1:2" x14ac:dyDescent="0.25">
      <c r="A40" s="48" t="s">
        <v>233</v>
      </c>
      <c r="B40" s="49">
        <v>250</v>
      </c>
    </row>
    <row r="41" spans="1:2" x14ac:dyDescent="0.25">
      <c r="A41" s="48" t="s">
        <v>233</v>
      </c>
      <c r="B41" s="48">
        <v>400</v>
      </c>
    </row>
    <row r="42" spans="1:2" x14ac:dyDescent="0.25">
      <c r="A42" s="48"/>
      <c r="B42" s="49">
        <f>SUM(B34:B41)</f>
        <v>9855</v>
      </c>
    </row>
    <row r="43" spans="1:2" x14ac:dyDescent="0.25">
      <c r="A43" s="48" t="s">
        <v>234</v>
      </c>
      <c r="B43" s="49">
        <v>14625</v>
      </c>
    </row>
    <row r="44" spans="1:2" x14ac:dyDescent="0.25">
      <c r="A44" s="48" t="s">
        <v>235</v>
      </c>
      <c r="B44" s="49">
        <v>1000</v>
      </c>
    </row>
    <row r="45" spans="1:2" x14ac:dyDescent="0.25">
      <c r="A45" s="48" t="s">
        <v>236</v>
      </c>
      <c r="B45" s="49"/>
    </row>
    <row r="46" spans="1:2" x14ac:dyDescent="0.25">
      <c r="A46" s="48" t="s">
        <v>29</v>
      </c>
      <c r="B46" s="49">
        <v>500</v>
      </c>
    </row>
    <row r="47" spans="1:2" x14ac:dyDescent="0.25">
      <c r="A47" s="50"/>
      <c r="B47" s="53"/>
    </row>
  </sheetData>
  <conditionalFormatting sqref="A3:A4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6" workbookViewId="0">
      <selection activeCell="C21" sqref="C21:C35"/>
    </sheetView>
  </sheetViews>
  <sheetFormatPr defaultRowHeight="15" x14ac:dyDescent="0.25"/>
  <cols>
    <col min="1" max="1" width="40" bestFit="1" customWidth="1"/>
    <col min="2" max="2" width="11.7109375" bestFit="1" customWidth="1"/>
    <col min="3" max="12" width="10.5703125" bestFit="1" customWidth="1"/>
    <col min="13" max="13" width="11.7109375" bestFit="1" customWidth="1"/>
    <col min="14" max="14" width="9.5703125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68</v>
      </c>
    </row>
    <row r="3" spans="1:14" x14ac:dyDescent="0.25">
      <c r="A3" t="s">
        <v>69</v>
      </c>
    </row>
    <row r="5" spans="1:14" x14ac:dyDescent="0.25">
      <c r="A5" t="s">
        <v>20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 s="4" t="s">
        <v>69</v>
      </c>
    </row>
    <row r="6" spans="1:14" x14ac:dyDescent="0.25">
      <c r="A6" s="4" t="s">
        <v>70</v>
      </c>
    </row>
    <row r="7" spans="1:14" x14ac:dyDescent="0.25">
      <c r="A7" t="s">
        <v>218</v>
      </c>
      <c r="B7" s="5">
        <f>RevenueModule!B40</f>
        <v>280.98750000000001</v>
      </c>
      <c r="C7" s="5">
        <f>RevenueModule!C40</f>
        <v>562.47406114570356</v>
      </c>
      <c r="D7" s="5">
        <f>RevenueModule!D40</f>
        <v>854.3718787582992</v>
      </c>
      <c r="E7" s="5">
        <f>RevenueModule!E40</f>
        <v>1166.2227988354809</v>
      </c>
      <c r="F7" s="5">
        <f>RevenueModule!F40</f>
        <v>1507.682659977125</v>
      </c>
      <c r="G7" s="5">
        <f>RevenueModule!G40</f>
        <v>1888.9631079718331</v>
      </c>
      <c r="H7" s="5">
        <f>RevenueModule!H40</f>
        <v>2321.2622531694324</v>
      </c>
      <c r="I7" s="5">
        <f>RevenueModule!I40</f>
        <v>2761.7012752085402</v>
      </c>
      <c r="J7" s="5">
        <f>RevenueModule!J40</f>
        <v>3234.1156452169926</v>
      </c>
      <c r="K7" s="5">
        <f>RevenueModule!K40</f>
        <v>3743.8226592545707</v>
      </c>
      <c r="L7" s="5">
        <f>RevenueModule!L40</f>
        <v>4296.5711815883851</v>
      </c>
      <c r="M7" s="5">
        <f>RevenueModule!M40</f>
        <v>4898.606771912263</v>
      </c>
      <c r="N7" s="6">
        <f>SUM(B7:M7)</f>
        <v>27516.781793038626</v>
      </c>
    </row>
    <row r="8" spans="1:14" x14ac:dyDescent="0.25">
      <c r="A8" t="s">
        <v>215</v>
      </c>
      <c r="B8" s="5">
        <f>RevenueModule!B61+RevenueModule!B67</f>
        <v>450</v>
      </c>
      <c r="C8" s="5">
        <f>RevenueModule!C61+RevenueModule!C67</f>
        <v>454.5</v>
      </c>
      <c r="D8" s="5">
        <f>RevenueModule!D61+RevenueModule!D67</f>
        <v>459.04500000000002</v>
      </c>
      <c r="E8" s="5">
        <f>RevenueModule!E61+RevenueModule!E67</f>
        <v>463.63545000000005</v>
      </c>
      <c r="F8" s="5">
        <f>RevenueModule!F61+RevenueModule!F67</f>
        <v>468.27180450000003</v>
      </c>
      <c r="G8" s="5">
        <f>RevenueModule!G61+RevenueModule!G67</f>
        <v>472.95452254500003</v>
      </c>
      <c r="H8" s="5">
        <f>RevenueModule!H61+RevenueModule!H67</f>
        <v>955.36813554090008</v>
      </c>
      <c r="I8" s="5">
        <f>RevenueModule!I61+RevenueModule!I67</f>
        <v>955.36813554090008</v>
      </c>
      <c r="J8" s="5">
        <f>RevenueModule!J61+RevenueModule!J67</f>
        <v>955.36813554090008</v>
      </c>
      <c r="K8" s="5">
        <f>RevenueModule!K61+RevenueModule!K67</f>
        <v>955.36813554090008</v>
      </c>
      <c r="L8" s="5">
        <f>RevenueModule!L61+RevenueModule!L67</f>
        <v>955.36813554090008</v>
      </c>
      <c r="M8" s="5">
        <f>RevenueModule!M61+RevenueModule!M67</f>
        <v>955.36813554090008</v>
      </c>
      <c r="N8" s="6">
        <f>SUM(B8:M8)</f>
        <v>8500.6155902903993</v>
      </c>
    </row>
    <row r="9" spans="1:14" x14ac:dyDescent="0.25">
      <c r="A9" t="s">
        <v>216</v>
      </c>
      <c r="B9" s="5">
        <f>RevenueModule!B80</f>
        <v>23.4375</v>
      </c>
      <c r="C9" s="5">
        <f>RevenueModule!C80</f>
        <v>46.916627280937497</v>
      </c>
      <c r="D9" s="5">
        <f>RevenueModule!D80</f>
        <v>71.264169788327379</v>
      </c>
      <c r="E9" s="5">
        <f>RevenueModule!E80</f>
        <v>97.276024192202797</v>
      </c>
      <c r="F9" s="5">
        <f>RevenueModule!F80</f>
        <v>125.7575954204862</v>
      </c>
      <c r="G9" s="5">
        <f>RevenueModule!G80</f>
        <v>157.56064893666027</v>
      </c>
      <c r="H9" s="5">
        <f>RevenueModule!H80</f>
        <v>193.61923238100823</v>
      </c>
      <c r="I9" s="5">
        <f>RevenueModule!I80</f>
        <v>234.98694371748888</v>
      </c>
      <c r="J9" s="5">
        <f>RevenueModule!J80</f>
        <v>280.71480959032925</v>
      </c>
      <c r="K9" s="5">
        <f>RevenueModule!K80</f>
        <v>331.48798821194345</v>
      </c>
      <c r="L9" s="5">
        <f>RevenueModule!L80</f>
        <v>388.07644761705473</v>
      </c>
      <c r="M9" s="5">
        <f>RevenueModule!M80</f>
        <v>451.34704256835067</v>
      </c>
      <c r="N9" s="6">
        <f>SUM(B9:M9)</f>
        <v>2402.4450297047897</v>
      </c>
    </row>
    <row r="10" spans="1:14" x14ac:dyDescent="0.25">
      <c r="A10" t="s">
        <v>217</v>
      </c>
      <c r="B10" s="5">
        <f>RevenueModule!B74</f>
        <v>22.5</v>
      </c>
      <c r="C10" s="5">
        <f>RevenueModule!C74</f>
        <v>45.022301190900002</v>
      </c>
      <c r="D10" s="5">
        <f>RevenueModule!D74</f>
        <v>68.359961048059972</v>
      </c>
      <c r="E10" s="5">
        <f>RevenueModule!E74</f>
        <v>93.275172378473727</v>
      </c>
      <c r="F10" s="5">
        <f>RevenueModule!F74</f>
        <v>120.53804537122319</v>
      </c>
      <c r="G10" s="5">
        <f>RevenueModule!G74</f>
        <v>150.96189978104994</v>
      </c>
      <c r="H10" s="5">
        <f>RevenueModule!H74</f>
        <v>185.43758274935976</v>
      </c>
      <c r="I10" s="5">
        <f>RevenueModule!I74</f>
        <v>224.9689948862335</v>
      </c>
      <c r="J10" s="5">
        <f>RevenueModule!J74</f>
        <v>268.64201241007788</v>
      </c>
      <c r="K10" s="5">
        <f>RevenueModule!K74</f>
        <v>317.10717934750062</v>
      </c>
      <c r="L10" s="5">
        <f>RevenueModule!L74</f>
        <v>371.0951142730097</v>
      </c>
      <c r="M10" s="5">
        <f>RevenueModule!M74</f>
        <v>431.42789623239355</v>
      </c>
      <c r="N10" s="6">
        <f>SUM(B10:M10)</f>
        <v>2299.3361596682817</v>
      </c>
    </row>
    <row r="11" spans="1:14" x14ac:dyDescent="0.25">
      <c r="A11" s="4" t="s">
        <v>71</v>
      </c>
      <c r="B11" s="8">
        <f t="shared" ref="B11:M11" si="0">SUM(B7:B10)</f>
        <v>776.92499999999995</v>
      </c>
      <c r="C11" s="8">
        <f t="shared" si="0"/>
        <v>1108.9129896175409</v>
      </c>
      <c r="D11" s="8">
        <f t="shared" si="0"/>
        <v>1453.0410095946863</v>
      </c>
      <c r="E11" s="8">
        <f t="shared" si="0"/>
        <v>1820.4094454061576</v>
      </c>
      <c r="F11" s="8">
        <f t="shared" si="0"/>
        <v>2222.2501052688344</v>
      </c>
      <c r="G11" s="8">
        <f t="shared" si="0"/>
        <v>2670.4401792345429</v>
      </c>
      <c r="H11" s="8">
        <f t="shared" si="0"/>
        <v>3655.6872038407</v>
      </c>
      <c r="I11" s="8">
        <f t="shared" si="0"/>
        <v>4177.0253493531627</v>
      </c>
      <c r="J11" s="8">
        <f t="shared" si="0"/>
        <v>4738.8406027582996</v>
      </c>
      <c r="K11" s="8">
        <f t="shared" si="0"/>
        <v>5347.7859623549139</v>
      </c>
      <c r="L11" s="8">
        <f t="shared" si="0"/>
        <v>6011.1108790193493</v>
      </c>
      <c r="M11" s="8">
        <f t="shared" si="0"/>
        <v>6736.749846253907</v>
      </c>
      <c r="N11" s="8">
        <f>SUM(B11:M11)</f>
        <v>40719.178572702098</v>
      </c>
    </row>
    <row r="13" spans="1:14" x14ac:dyDescent="0.25">
      <c r="A13" t="s">
        <v>72</v>
      </c>
      <c r="B13" s="5">
        <f>DATA!B57</f>
        <v>250</v>
      </c>
      <c r="C13" s="5">
        <f>DATA!C57</f>
        <v>252.5</v>
      </c>
      <c r="D13" s="5">
        <f>DATA!D57</f>
        <v>255.02500000000001</v>
      </c>
      <c r="E13" s="5">
        <f>DATA!E57</f>
        <v>257.57524999999998</v>
      </c>
      <c r="F13" s="5">
        <f>DATA!F57</f>
        <v>260.1510025</v>
      </c>
      <c r="G13" s="5">
        <f>DATA!G57</f>
        <v>262.75251252499999</v>
      </c>
      <c r="H13" s="5">
        <f>DATA!H57</f>
        <v>265.38003765024996</v>
      </c>
      <c r="I13" s="5">
        <f>DATA!I57</f>
        <v>268.03383802675245</v>
      </c>
      <c r="J13" s="5">
        <f>DATA!J57</f>
        <v>270.71417640701998</v>
      </c>
      <c r="K13" s="5">
        <f>DATA!K57</f>
        <v>273.42131817109021</v>
      </c>
      <c r="L13" s="5">
        <f>DATA!L57</f>
        <v>276.15553135280112</v>
      </c>
      <c r="M13" s="5">
        <f>DATA!M57</f>
        <v>278.91708666632911</v>
      </c>
      <c r="N13" s="6">
        <f>SUM(B13:M13)</f>
        <v>3170.6257532992427</v>
      </c>
    </row>
    <row r="14" spans="1:14" x14ac:dyDescent="0.25">
      <c r="A14" t="s">
        <v>73</v>
      </c>
      <c r="B14" s="5">
        <f>DATA!B58</f>
        <v>2340</v>
      </c>
      <c r="C14" s="5">
        <f>DATA!C58</f>
        <v>2342.3399999999997</v>
      </c>
      <c r="D14" s="5">
        <f>DATA!D58</f>
        <v>2344.6823399999994</v>
      </c>
      <c r="E14" s="5">
        <f>DATA!E58</f>
        <v>2347.0270223399989</v>
      </c>
      <c r="F14" s="5">
        <f>DATA!F58</f>
        <v>2349.3740493623386</v>
      </c>
      <c r="G14" s="5">
        <f>DATA!G58</f>
        <v>2351.7234234117004</v>
      </c>
      <c r="H14" s="5">
        <f>DATA!H58</f>
        <v>2354.0751468351118</v>
      </c>
      <c r="I14" s="5">
        <f>DATA!I58</f>
        <v>2356.4292219819467</v>
      </c>
      <c r="J14" s="5">
        <f>DATA!J58</f>
        <v>2358.7856512039284</v>
      </c>
      <c r="K14" s="5">
        <f>DATA!K58</f>
        <v>2361.1444368551324</v>
      </c>
      <c r="L14" s="5">
        <f>DATA!L58</f>
        <v>2363.5055812919873</v>
      </c>
      <c r="M14" s="5">
        <f>DATA!M58</f>
        <v>2365.8690868732792</v>
      </c>
      <c r="N14" s="6">
        <f>SUM(B14:M14)</f>
        <v>28234.955960155428</v>
      </c>
    </row>
    <row r="15" spans="1:14" x14ac:dyDescent="0.25">
      <c r="A15" s="4" t="s">
        <v>74</v>
      </c>
      <c r="B15" s="8">
        <f t="shared" ref="B15:M15" si="1">SUM(B13:B14)</f>
        <v>2590</v>
      </c>
      <c r="C15" s="8">
        <f t="shared" si="1"/>
        <v>2594.8399999999997</v>
      </c>
      <c r="D15" s="8">
        <f t="shared" si="1"/>
        <v>2599.7073399999995</v>
      </c>
      <c r="E15" s="8">
        <f t="shared" si="1"/>
        <v>2604.6022723399988</v>
      </c>
      <c r="F15" s="8">
        <f t="shared" si="1"/>
        <v>2609.5250518623388</v>
      </c>
      <c r="G15" s="8">
        <f t="shared" si="1"/>
        <v>2614.4759359367004</v>
      </c>
      <c r="H15" s="8">
        <f t="shared" si="1"/>
        <v>2619.4551844853618</v>
      </c>
      <c r="I15" s="8">
        <f t="shared" si="1"/>
        <v>2624.4630600086994</v>
      </c>
      <c r="J15" s="8">
        <f t="shared" si="1"/>
        <v>2629.4998276109482</v>
      </c>
      <c r="K15" s="8">
        <f t="shared" si="1"/>
        <v>2634.5657550262226</v>
      </c>
      <c r="L15" s="8">
        <f t="shared" si="1"/>
        <v>2639.6611126447883</v>
      </c>
      <c r="M15" s="8">
        <f t="shared" si="1"/>
        <v>2644.7861735396082</v>
      </c>
      <c r="N15" s="8">
        <f>SUM(B15:M15)</f>
        <v>31405.581713454663</v>
      </c>
    </row>
    <row r="17" spans="1:14" x14ac:dyDescent="0.25">
      <c r="A17" s="4" t="s">
        <v>75</v>
      </c>
      <c r="B17" s="9">
        <f t="shared" ref="B17:M17" si="2">B11-B15</f>
        <v>-1813.075</v>
      </c>
      <c r="C17" s="9">
        <f t="shared" si="2"/>
        <v>-1485.9270103824588</v>
      </c>
      <c r="D17" s="9">
        <f t="shared" si="2"/>
        <v>-1146.6663304053131</v>
      </c>
      <c r="E17" s="9">
        <f t="shared" si="2"/>
        <v>-784.19282693384116</v>
      </c>
      <c r="F17" s="9">
        <f t="shared" si="2"/>
        <v>-387.27494659350441</v>
      </c>
      <c r="G17" s="9">
        <f t="shared" si="2"/>
        <v>55.964243297842586</v>
      </c>
      <c r="H17" s="9">
        <f t="shared" si="2"/>
        <v>1036.2320193553383</v>
      </c>
      <c r="I17" s="9">
        <f t="shared" si="2"/>
        <v>1552.5622893444634</v>
      </c>
      <c r="J17" s="9">
        <f t="shared" si="2"/>
        <v>2109.3407751473515</v>
      </c>
      <c r="K17" s="9">
        <f t="shared" si="2"/>
        <v>2713.2202073286912</v>
      </c>
      <c r="L17" s="9">
        <f t="shared" si="2"/>
        <v>3371.449766374561</v>
      </c>
      <c r="M17" s="9">
        <f t="shared" si="2"/>
        <v>4091.9636727142988</v>
      </c>
      <c r="N17" s="9">
        <f>SUM(B17:M17)</f>
        <v>9313.5968592474292</v>
      </c>
    </row>
    <row r="18" spans="1:14" x14ac:dyDescent="0.25">
      <c r="A18" t="s">
        <v>76</v>
      </c>
      <c r="B18" s="2">
        <f t="shared" ref="B18:N18" si="3">IF(B11=0,0,B17/B11)</f>
        <v>-2.3336551147150626</v>
      </c>
      <c r="C18" s="2">
        <f t="shared" si="3"/>
        <v>-1.3399852146153941</v>
      </c>
      <c r="D18" s="2">
        <f t="shared" si="3"/>
        <v>-0.78914932395828674</v>
      </c>
      <c r="E18" s="2">
        <f t="shared" si="3"/>
        <v>-0.43077826744569397</v>
      </c>
      <c r="F18" s="2">
        <f t="shared" si="3"/>
        <v>-0.1742715393174227</v>
      </c>
      <c r="G18" s="2">
        <f t="shared" si="3"/>
        <v>2.095693576400735E-2</v>
      </c>
      <c r="H18" s="2">
        <f t="shared" si="3"/>
        <v>0.28345751744478109</v>
      </c>
      <c r="I18" s="2">
        <f t="shared" si="3"/>
        <v>0.37169089471407851</v>
      </c>
      <c r="J18" s="2">
        <f t="shared" si="3"/>
        <v>0.44511747745209745</v>
      </c>
      <c r="K18" s="2">
        <f t="shared" si="3"/>
        <v>0.50735392673305801</v>
      </c>
      <c r="L18" s="2">
        <f t="shared" si="3"/>
        <v>0.56086966855693376</v>
      </c>
      <c r="M18" s="2">
        <f t="shared" si="3"/>
        <v>0.60740917595295751</v>
      </c>
      <c r="N18" s="10">
        <f t="shared" si="3"/>
        <v>0.22872752314044004</v>
      </c>
    </row>
    <row r="20" spans="1:14" x14ac:dyDescent="0.25">
      <c r="A20" s="4" t="s">
        <v>22</v>
      </c>
    </row>
    <row r="21" spans="1:14" x14ac:dyDescent="0.25">
      <c r="A21" t="str">
        <f>DATA!A34</f>
        <v>Accounting</v>
      </c>
      <c r="B21" s="5">
        <f>DATA!B34</f>
        <v>100</v>
      </c>
      <c r="C21" s="5">
        <f>DATA!C34</f>
        <v>101</v>
      </c>
      <c r="D21" s="5">
        <f>DATA!D34</f>
        <v>102</v>
      </c>
      <c r="E21" s="5">
        <f>DATA!E34</f>
        <v>103</v>
      </c>
      <c r="F21" s="5">
        <f>DATA!F34</f>
        <v>104</v>
      </c>
      <c r="G21" s="5">
        <f>DATA!G34</f>
        <v>105</v>
      </c>
      <c r="H21" s="5">
        <f>DATA!H34</f>
        <v>106</v>
      </c>
      <c r="I21" s="5">
        <f>DATA!I34</f>
        <v>107</v>
      </c>
      <c r="J21" s="5">
        <f>DATA!J34</f>
        <v>108</v>
      </c>
      <c r="K21" s="5">
        <f>DATA!K34</f>
        <v>109</v>
      </c>
      <c r="L21" s="5">
        <f>DATA!L34</f>
        <v>110</v>
      </c>
      <c r="M21" s="5">
        <f>DATA!M34</f>
        <v>111</v>
      </c>
      <c r="N21" s="6">
        <f t="shared" ref="N21:N40" si="4">SUM(B21:M21)</f>
        <v>1266</v>
      </c>
    </row>
    <row r="22" spans="1:14" x14ac:dyDescent="0.25">
      <c r="A22" t="str">
        <f>DATA!A35</f>
        <v>Advertising</v>
      </c>
      <c r="B22" s="5">
        <f>DATA!B35</f>
        <v>7000.17</v>
      </c>
      <c r="C22" s="5">
        <f>DATA!C35</f>
        <v>110.00000000000001</v>
      </c>
      <c r="D22" s="5">
        <f>DATA!D35</f>
        <v>121.00000000000003</v>
      </c>
      <c r="E22" s="5">
        <f>DATA!E35</f>
        <v>133.10000000000005</v>
      </c>
      <c r="F22" s="5">
        <f>DATA!F35</f>
        <v>146.41000000000008</v>
      </c>
      <c r="G22" s="5">
        <f>DATA!G35</f>
        <v>161.0510000000001</v>
      </c>
      <c r="H22" s="5">
        <f>DATA!H35</f>
        <v>177.15610000000012</v>
      </c>
      <c r="I22" s="5">
        <f>DATA!I35</f>
        <v>194.87171000000015</v>
      </c>
      <c r="J22" s="5">
        <f>DATA!J35</f>
        <v>214.3588810000002</v>
      </c>
      <c r="K22" s="5">
        <f>DATA!K35</f>
        <v>235.79476910000022</v>
      </c>
      <c r="L22" s="5">
        <f>DATA!L35</f>
        <v>259.37424601000026</v>
      </c>
      <c r="M22" s="5">
        <f>DATA!M35</f>
        <v>285.3116706110003</v>
      </c>
      <c r="N22" s="6">
        <f t="shared" si="4"/>
        <v>9038.5983767210018</v>
      </c>
    </row>
    <row r="23" spans="1:14" x14ac:dyDescent="0.25">
      <c r="A23" t="str">
        <f>DATA!A36</f>
        <v>Insurance</v>
      </c>
      <c r="B23" s="5">
        <f>DATA!B36</f>
        <v>6500</v>
      </c>
      <c r="C23" s="5">
        <f>DATA!C36</f>
        <v>0</v>
      </c>
      <c r="D23" s="5">
        <f>DATA!D36</f>
        <v>0</v>
      </c>
      <c r="E23" s="5">
        <f>DATA!E36</f>
        <v>0</v>
      </c>
      <c r="F23" s="5">
        <f>DATA!F36</f>
        <v>0</v>
      </c>
      <c r="G23" s="5">
        <f>DATA!G36</f>
        <v>0</v>
      </c>
      <c r="H23" s="5">
        <f>DATA!H36</f>
        <v>0</v>
      </c>
      <c r="I23" s="5">
        <f>DATA!I36</f>
        <v>0</v>
      </c>
      <c r="J23" s="5">
        <f>DATA!J36</f>
        <v>0</v>
      </c>
      <c r="K23" s="5">
        <f>DATA!K36</f>
        <v>0</v>
      </c>
      <c r="L23" s="5">
        <f>DATA!L36</f>
        <v>0</v>
      </c>
      <c r="M23" s="5">
        <f>DATA!M36</f>
        <v>0</v>
      </c>
      <c r="N23" s="6">
        <f t="shared" si="4"/>
        <v>6500</v>
      </c>
    </row>
    <row r="24" spans="1:14" x14ac:dyDescent="0.25">
      <c r="A24" t="str">
        <f>DATA!A37</f>
        <v>Legal/Professional Services</v>
      </c>
      <c r="B24" s="5">
        <f>DATA!B37</f>
        <v>9855</v>
      </c>
      <c r="C24" s="5">
        <f>DATA!C37</f>
        <v>0</v>
      </c>
      <c r="D24" s="5">
        <f>DATA!D37</f>
        <v>0</v>
      </c>
      <c r="E24" s="5">
        <f>DATA!E37</f>
        <v>0</v>
      </c>
      <c r="F24" s="5">
        <f>DATA!F37</f>
        <v>0</v>
      </c>
      <c r="G24" s="5">
        <f>DATA!G37</f>
        <v>0</v>
      </c>
      <c r="H24" s="5">
        <f>DATA!H37</f>
        <v>0</v>
      </c>
      <c r="I24" s="5">
        <f>DATA!I37</f>
        <v>0</v>
      </c>
      <c r="J24" s="5">
        <f>DATA!J37</f>
        <v>0</v>
      </c>
      <c r="K24" s="5">
        <f>DATA!K37</f>
        <v>0</v>
      </c>
      <c r="L24" s="5">
        <f>DATA!L37</f>
        <v>0</v>
      </c>
      <c r="M24" s="5">
        <f>DATA!M37</f>
        <v>0</v>
      </c>
      <c r="N24" s="6">
        <f t="shared" si="4"/>
        <v>9855</v>
      </c>
    </row>
    <row r="25" spans="1:14" x14ac:dyDescent="0.25">
      <c r="A25" t="str">
        <f>DATA!A38</f>
        <v>Licenses</v>
      </c>
      <c r="B25" s="5">
        <f>DATA!B38</f>
        <v>0</v>
      </c>
      <c r="C25" s="5">
        <f>DATA!C38</f>
        <v>0</v>
      </c>
      <c r="D25" s="5">
        <f>DATA!D38</f>
        <v>0</v>
      </c>
      <c r="E25" s="5">
        <f>DATA!E38</f>
        <v>0</v>
      </c>
      <c r="F25" s="5">
        <f>DATA!F38</f>
        <v>0</v>
      </c>
      <c r="G25" s="5">
        <f>DATA!G38</f>
        <v>0</v>
      </c>
      <c r="H25" s="5">
        <f>DATA!H38</f>
        <v>0</v>
      </c>
      <c r="I25" s="5">
        <f>DATA!I38</f>
        <v>0</v>
      </c>
      <c r="J25" s="5">
        <f>DATA!J38</f>
        <v>0</v>
      </c>
      <c r="K25" s="5">
        <f>DATA!K38</f>
        <v>0</v>
      </c>
      <c r="L25" s="5">
        <f>DATA!L38</f>
        <v>0</v>
      </c>
      <c r="M25" s="5">
        <f>DATA!M38</f>
        <v>0</v>
      </c>
      <c r="N25" s="6">
        <f t="shared" si="4"/>
        <v>0</v>
      </c>
    </row>
    <row r="26" spans="1:14" x14ac:dyDescent="0.25">
      <c r="A26" t="str">
        <f>DATA!A39</f>
        <v>Mindbody Transacation Fees</v>
      </c>
      <c r="B26" s="5">
        <f>DATA!B39</f>
        <v>300</v>
      </c>
      <c r="C26" s="5">
        <f>DATA!C39</f>
        <v>300</v>
      </c>
      <c r="D26" s="5">
        <f>DATA!D39</f>
        <v>300</v>
      </c>
      <c r="E26" s="5">
        <f>DATA!E39</f>
        <v>300</v>
      </c>
      <c r="F26" s="5">
        <f>DATA!F39</f>
        <v>300</v>
      </c>
      <c r="G26" s="5">
        <f>DATA!G39</f>
        <v>300</v>
      </c>
      <c r="H26" s="5">
        <f>DATA!H39</f>
        <v>300</v>
      </c>
      <c r="I26" s="5">
        <f>DATA!I39</f>
        <v>300</v>
      </c>
      <c r="J26" s="5">
        <f>DATA!J39</f>
        <v>300</v>
      </c>
      <c r="K26" s="5">
        <f>DATA!K39</f>
        <v>300</v>
      </c>
      <c r="L26" s="5">
        <f>DATA!L39</f>
        <v>300</v>
      </c>
      <c r="M26" s="5">
        <f>DATA!M39</f>
        <v>300</v>
      </c>
      <c r="N26" s="6">
        <f t="shared" si="4"/>
        <v>3600</v>
      </c>
    </row>
    <row r="27" spans="1:14" x14ac:dyDescent="0.25">
      <c r="A27" t="str">
        <f>DATA!A40</f>
        <v>Mindbody Software</v>
      </c>
      <c r="B27" s="5">
        <f>DATA!B40</f>
        <v>125</v>
      </c>
      <c r="C27" s="5">
        <f>DATA!C40</f>
        <v>125</v>
      </c>
      <c r="D27" s="5">
        <f>DATA!D40</f>
        <v>125</v>
      </c>
      <c r="E27" s="5">
        <f>DATA!E40</f>
        <v>125</v>
      </c>
      <c r="F27" s="5">
        <f>DATA!F40</f>
        <v>125</v>
      </c>
      <c r="G27" s="5">
        <f>DATA!G40</f>
        <v>125</v>
      </c>
      <c r="H27" s="5">
        <f>DATA!H40</f>
        <v>125</v>
      </c>
      <c r="I27" s="5">
        <f>DATA!I40</f>
        <v>125</v>
      </c>
      <c r="J27" s="5">
        <f>DATA!J40</f>
        <v>125</v>
      </c>
      <c r="K27" s="5">
        <f>DATA!K40</f>
        <v>125</v>
      </c>
      <c r="L27" s="5">
        <f>DATA!L40</f>
        <v>125</v>
      </c>
      <c r="M27" s="5">
        <f>DATA!M40</f>
        <v>125</v>
      </c>
      <c r="N27" s="6">
        <f t="shared" si="4"/>
        <v>1500</v>
      </c>
    </row>
    <row r="28" spans="1:14" x14ac:dyDescent="0.25">
      <c r="A28" t="str">
        <f>DATA!A41</f>
        <v>Paper Goods</v>
      </c>
      <c r="B28" s="5">
        <f>DATA!B41</f>
        <v>50</v>
      </c>
      <c r="C28" s="5">
        <f>DATA!C41</f>
        <v>50</v>
      </c>
      <c r="D28" s="5">
        <f>DATA!D41</f>
        <v>50</v>
      </c>
      <c r="E28" s="5">
        <f>DATA!E41</f>
        <v>50</v>
      </c>
      <c r="F28" s="5">
        <f>DATA!F41</f>
        <v>50</v>
      </c>
      <c r="G28" s="5">
        <f>DATA!G41</f>
        <v>50</v>
      </c>
      <c r="H28" s="5">
        <f>DATA!H41</f>
        <v>50</v>
      </c>
      <c r="I28" s="5">
        <f>DATA!I41</f>
        <v>50</v>
      </c>
      <c r="J28" s="5">
        <f>DATA!J41</f>
        <v>50</v>
      </c>
      <c r="K28" s="5">
        <f>DATA!K41</f>
        <v>50</v>
      </c>
      <c r="L28" s="5">
        <f>DATA!L41</f>
        <v>50</v>
      </c>
      <c r="M28" s="5">
        <f>DATA!M41</f>
        <v>50</v>
      </c>
      <c r="N28" s="6">
        <f t="shared" si="4"/>
        <v>600</v>
      </c>
    </row>
    <row r="29" spans="1:14" x14ac:dyDescent="0.25">
      <c r="A29" t="str">
        <f>DATA!A42</f>
        <v>Rent</v>
      </c>
      <c r="B29" s="5">
        <f>DATA!B42</f>
        <v>4875</v>
      </c>
      <c r="C29" s="5">
        <f>DATA!C42</f>
        <v>4875</v>
      </c>
      <c r="D29" s="5">
        <f>DATA!D42</f>
        <v>4875</v>
      </c>
      <c r="E29" s="5">
        <f>DATA!E42</f>
        <v>4875</v>
      </c>
      <c r="F29" s="5">
        <f>DATA!F42</f>
        <v>4875</v>
      </c>
      <c r="G29" s="5">
        <f>DATA!G42</f>
        <v>4875</v>
      </c>
      <c r="H29" s="5">
        <f>DATA!H42</f>
        <v>4875</v>
      </c>
      <c r="I29" s="5">
        <f>DATA!I42</f>
        <v>4875</v>
      </c>
      <c r="J29" s="5">
        <f>DATA!J42</f>
        <v>4875</v>
      </c>
      <c r="K29" s="5">
        <f>DATA!K42</f>
        <v>4875</v>
      </c>
      <c r="L29" s="5">
        <f>DATA!L42</f>
        <v>4875</v>
      </c>
      <c r="M29" s="5">
        <f>DATA!M42</f>
        <v>4875</v>
      </c>
      <c r="N29" s="6">
        <f t="shared" si="4"/>
        <v>58500</v>
      </c>
    </row>
    <row r="30" spans="1:14" x14ac:dyDescent="0.25">
      <c r="A30" t="str">
        <f>DATA!A43</f>
        <v>Tea</v>
      </c>
      <c r="B30" s="5">
        <f>DATA!B43</f>
        <v>100</v>
      </c>
      <c r="C30" s="5">
        <f>DATA!C43</f>
        <v>100</v>
      </c>
      <c r="D30" s="5">
        <f>DATA!D43</f>
        <v>100</v>
      </c>
      <c r="E30" s="5">
        <f>DATA!E43</f>
        <v>100</v>
      </c>
      <c r="F30" s="5">
        <f>DATA!F43</f>
        <v>100</v>
      </c>
      <c r="G30" s="5">
        <f>DATA!G43</f>
        <v>100</v>
      </c>
      <c r="H30" s="5">
        <f>DATA!H43</f>
        <v>100</v>
      </c>
      <c r="I30" s="5">
        <f>DATA!I43</f>
        <v>100</v>
      </c>
      <c r="J30" s="5">
        <f>DATA!J43</f>
        <v>100</v>
      </c>
      <c r="K30" s="5">
        <f>DATA!K43</f>
        <v>100</v>
      </c>
      <c r="L30" s="5">
        <f>DATA!L43</f>
        <v>100</v>
      </c>
      <c r="M30" s="5">
        <f>DATA!M43</f>
        <v>100</v>
      </c>
      <c r="N30" s="6">
        <f t="shared" si="4"/>
        <v>1200</v>
      </c>
    </row>
    <row r="31" spans="1:14" x14ac:dyDescent="0.25">
      <c r="A31" t="str">
        <f>DATA!A44</f>
        <v>Telephone</v>
      </c>
      <c r="B31" s="5">
        <f>DATA!B44</f>
        <v>100</v>
      </c>
      <c r="C31" s="5">
        <f>DATA!C44</f>
        <v>100</v>
      </c>
      <c r="D31" s="5">
        <f>DATA!D44</f>
        <v>100</v>
      </c>
      <c r="E31" s="5">
        <f>DATA!E44</f>
        <v>100</v>
      </c>
      <c r="F31" s="5">
        <f>DATA!F44</f>
        <v>100</v>
      </c>
      <c r="G31" s="5">
        <f>DATA!G44</f>
        <v>100</v>
      </c>
      <c r="H31" s="5">
        <f>DATA!H44</f>
        <v>100</v>
      </c>
      <c r="I31" s="5">
        <f>DATA!I44</f>
        <v>100</v>
      </c>
      <c r="J31" s="5">
        <f>DATA!J44</f>
        <v>100</v>
      </c>
      <c r="K31" s="5">
        <f>DATA!K44</f>
        <v>100</v>
      </c>
      <c r="L31" s="5">
        <f>DATA!L44</f>
        <v>100</v>
      </c>
      <c r="M31" s="5">
        <f>DATA!M44</f>
        <v>100</v>
      </c>
      <c r="N31" s="6">
        <f t="shared" si="4"/>
        <v>1200</v>
      </c>
    </row>
    <row r="32" spans="1:14" x14ac:dyDescent="0.25">
      <c r="A32" t="str">
        <f>DATA!A45</f>
        <v>Towel Service</v>
      </c>
      <c r="B32" s="5">
        <f>DATA!B45</f>
        <v>300</v>
      </c>
      <c r="C32" s="5">
        <f>DATA!C45</f>
        <v>300</v>
      </c>
      <c r="D32" s="5">
        <f>DATA!D45</f>
        <v>300</v>
      </c>
      <c r="E32" s="5">
        <f>DATA!E45</f>
        <v>300</v>
      </c>
      <c r="F32" s="5">
        <f>DATA!F45</f>
        <v>300</v>
      </c>
      <c r="G32" s="5">
        <f>DATA!G45</f>
        <v>300</v>
      </c>
      <c r="H32" s="5">
        <f>DATA!H45</f>
        <v>300</v>
      </c>
      <c r="I32" s="5">
        <f>DATA!I45</f>
        <v>300</v>
      </c>
      <c r="J32" s="5">
        <f>DATA!J45</f>
        <v>300</v>
      </c>
      <c r="K32" s="5">
        <f>DATA!K45</f>
        <v>300</v>
      </c>
      <c r="L32" s="5">
        <f>DATA!L45</f>
        <v>300</v>
      </c>
      <c r="M32" s="5">
        <f>DATA!M45</f>
        <v>300</v>
      </c>
      <c r="N32" s="6">
        <f t="shared" si="4"/>
        <v>3600</v>
      </c>
    </row>
    <row r="33" spans="1:14" x14ac:dyDescent="0.25">
      <c r="A33" t="str">
        <f>DATA!A46</f>
        <v>Utilities</v>
      </c>
      <c r="B33" s="5">
        <f>DATA!B46</f>
        <v>200</v>
      </c>
      <c r="C33" s="5">
        <f>DATA!C46</f>
        <v>200</v>
      </c>
      <c r="D33" s="5">
        <f>DATA!D46</f>
        <v>200</v>
      </c>
      <c r="E33" s="5">
        <f>DATA!E46</f>
        <v>200</v>
      </c>
      <c r="F33" s="5">
        <f>DATA!F46</f>
        <v>200</v>
      </c>
      <c r="G33" s="5">
        <f>DATA!G46</f>
        <v>200</v>
      </c>
      <c r="H33" s="5">
        <f>DATA!H46</f>
        <v>200</v>
      </c>
      <c r="I33" s="5">
        <f>DATA!I46</f>
        <v>200</v>
      </c>
      <c r="J33" s="5">
        <f>DATA!J46</f>
        <v>200</v>
      </c>
      <c r="K33" s="5">
        <f>DATA!K46</f>
        <v>200</v>
      </c>
      <c r="L33" s="5">
        <f>DATA!L46</f>
        <v>200</v>
      </c>
      <c r="M33" s="5">
        <f>DATA!M46</f>
        <v>200</v>
      </c>
      <c r="N33" s="6">
        <f t="shared" si="4"/>
        <v>2400</v>
      </c>
    </row>
    <row r="34" spans="1:14" x14ac:dyDescent="0.25">
      <c r="A34" t="str">
        <f>DATA!A47</f>
        <v>Wifi</v>
      </c>
      <c r="B34" s="5">
        <f>DATA!B47</f>
        <v>50</v>
      </c>
      <c r="C34" s="5">
        <f>DATA!C47</f>
        <v>50</v>
      </c>
      <c r="D34" s="5">
        <f>DATA!D47</f>
        <v>50</v>
      </c>
      <c r="E34" s="5">
        <f>DATA!E47</f>
        <v>50</v>
      </c>
      <c r="F34" s="5">
        <f>DATA!F47</f>
        <v>50</v>
      </c>
      <c r="G34" s="5">
        <f>DATA!G47</f>
        <v>50</v>
      </c>
      <c r="H34" s="5">
        <f>DATA!H47</f>
        <v>50</v>
      </c>
      <c r="I34" s="5">
        <f>DATA!I47</f>
        <v>50</v>
      </c>
      <c r="J34" s="5">
        <f>DATA!J47</f>
        <v>50</v>
      </c>
      <c r="K34" s="5">
        <f>DATA!K47</f>
        <v>50</v>
      </c>
      <c r="L34" s="5">
        <f>DATA!L47</f>
        <v>50</v>
      </c>
      <c r="M34" s="5">
        <f>DATA!M47</f>
        <v>50</v>
      </c>
      <c r="N34" s="6">
        <f t="shared" si="4"/>
        <v>600</v>
      </c>
    </row>
    <row r="35" spans="1:14" x14ac:dyDescent="0.25">
      <c r="A35" t="str">
        <f>DATA!A48</f>
        <v>Water</v>
      </c>
      <c r="B35" s="5">
        <f>DATA!B48</f>
        <v>25</v>
      </c>
      <c r="C35" s="5">
        <f>DATA!C48</f>
        <v>25</v>
      </c>
      <c r="D35" s="5">
        <f>DATA!D48</f>
        <v>25</v>
      </c>
      <c r="E35" s="5">
        <f>DATA!E48</f>
        <v>25</v>
      </c>
      <c r="F35" s="5">
        <f>DATA!F48</f>
        <v>25</v>
      </c>
      <c r="G35" s="5">
        <f>DATA!G48</f>
        <v>25</v>
      </c>
      <c r="H35" s="5">
        <f>DATA!H48</f>
        <v>25</v>
      </c>
      <c r="I35" s="5">
        <f>DATA!I48</f>
        <v>25</v>
      </c>
      <c r="J35" s="5">
        <f>DATA!J48</f>
        <v>25</v>
      </c>
      <c r="K35" s="5">
        <f>DATA!K48</f>
        <v>25</v>
      </c>
      <c r="L35" s="5">
        <f>DATA!L48</f>
        <v>25</v>
      </c>
      <c r="M35" s="5">
        <f>DATA!M48</f>
        <v>25</v>
      </c>
      <c r="N35" s="6">
        <f t="shared" si="4"/>
        <v>300</v>
      </c>
    </row>
    <row r="36" spans="1:14" x14ac:dyDescent="0.25">
      <c r="A36" t="s">
        <v>77</v>
      </c>
      <c r="B36" s="5">
        <f>SalaryModule!B12</f>
        <v>0</v>
      </c>
      <c r="C36" s="5">
        <f>SalaryModule!C12</f>
        <v>0</v>
      </c>
      <c r="D36" s="5">
        <f>SalaryModule!D12</f>
        <v>0</v>
      </c>
      <c r="E36" s="5">
        <f>SalaryModule!E12</f>
        <v>0</v>
      </c>
      <c r="F36" s="5">
        <f>SalaryModule!F12</f>
        <v>0</v>
      </c>
      <c r="G36" s="5">
        <f>SalaryModule!G12</f>
        <v>0</v>
      </c>
      <c r="H36" s="5">
        <f>SalaryModule!H12</f>
        <v>0</v>
      </c>
      <c r="I36" s="5">
        <f>SalaryModule!I12</f>
        <v>0</v>
      </c>
      <c r="J36" s="5">
        <f>SalaryModule!J12</f>
        <v>0</v>
      </c>
      <c r="K36" s="5">
        <f>SalaryModule!K12</f>
        <v>0</v>
      </c>
      <c r="L36" s="5">
        <f>SalaryModule!L12</f>
        <v>0</v>
      </c>
      <c r="M36" s="5">
        <f>SalaryModule!M12</f>
        <v>0</v>
      </c>
      <c r="N36" s="6">
        <f t="shared" si="4"/>
        <v>0</v>
      </c>
    </row>
    <row r="37" spans="1:14" x14ac:dyDescent="0.25">
      <c r="A37" t="s">
        <v>78</v>
      </c>
      <c r="B37" s="5">
        <f>LoanModule!D9</f>
        <v>0</v>
      </c>
      <c r="C37" s="5">
        <f>LoanModule!D10</f>
        <v>0</v>
      </c>
      <c r="D37" s="5">
        <f>LoanModule!D11</f>
        <v>0</v>
      </c>
      <c r="E37" s="5">
        <f>LoanModule!D12</f>
        <v>0</v>
      </c>
      <c r="F37" s="5">
        <f>LoanModule!D13</f>
        <v>0</v>
      </c>
      <c r="G37" s="5">
        <f>LoanModule!D14</f>
        <v>0</v>
      </c>
      <c r="H37" s="5">
        <f>LoanModule!D15</f>
        <v>0</v>
      </c>
      <c r="I37" s="5">
        <f>LoanModule!D16</f>
        <v>0</v>
      </c>
      <c r="J37" s="5">
        <f>LoanModule!D17</f>
        <v>0</v>
      </c>
      <c r="K37" s="5">
        <f>LoanModule!D18</f>
        <v>0</v>
      </c>
      <c r="L37" s="5">
        <f>LoanModule!D19</f>
        <v>0</v>
      </c>
      <c r="M37" s="5">
        <f>LoanModule!D20</f>
        <v>0</v>
      </c>
      <c r="N37" s="6">
        <f t="shared" si="4"/>
        <v>0</v>
      </c>
    </row>
    <row r="38" spans="1:14" x14ac:dyDescent="0.25">
      <c r="A38" t="s">
        <v>79</v>
      </c>
      <c r="B38" s="5">
        <f>DATA!B50*DATA!B56</f>
        <v>0</v>
      </c>
      <c r="C38" s="5">
        <f>DATA!B50*DATA!C56</f>
        <v>0</v>
      </c>
      <c r="D38" s="5">
        <f>DATA!B50*DATA!D56</f>
        <v>0</v>
      </c>
      <c r="E38" s="5">
        <f>DATA!B50*DATA!E56</f>
        <v>0</v>
      </c>
      <c r="F38" s="5">
        <f>DATA!B50*DATA!F56</f>
        <v>0</v>
      </c>
      <c r="G38" s="5">
        <f>DATA!B50*DATA!G56</f>
        <v>0</v>
      </c>
      <c r="H38" s="5">
        <f>DATA!B50*DATA!H56</f>
        <v>0</v>
      </c>
      <c r="I38" s="5">
        <f>DATA!B50*DATA!I56</f>
        <v>0</v>
      </c>
      <c r="J38" s="5">
        <f>DATA!B50*DATA!J56</f>
        <v>0</v>
      </c>
      <c r="K38" s="5">
        <f>DATA!B50*DATA!K56</f>
        <v>0</v>
      </c>
      <c r="L38" s="5">
        <f>DATA!B50*DATA!L56</f>
        <v>0</v>
      </c>
      <c r="M38" s="5">
        <f>DATA!B50*DATA!M56</f>
        <v>0</v>
      </c>
      <c r="N38" s="6">
        <f t="shared" si="4"/>
        <v>0</v>
      </c>
    </row>
    <row r="39" spans="1:14" x14ac:dyDescent="0.25">
      <c r="A39" t="s">
        <v>80</v>
      </c>
      <c r="B39" s="5">
        <f>DATA!B61</f>
        <v>1077.3809523809523</v>
      </c>
      <c r="C39" s="5">
        <f>DATA!C61</f>
        <v>1077.3809523809523</v>
      </c>
      <c r="D39" s="5">
        <f>DATA!D61</f>
        <v>1077.3809523809523</v>
      </c>
      <c r="E39" s="5">
        <f>DATA!E61</f>
        <v>1077.3809523809523</v>
      </c>
      <c r="F39" s="5">
        <f>DATA!F61</f>
        <v>1077.3809523809523</v>
      </c>
      <c r="G39" s="5">
        <f>DATA!G61</f>
        <v>1077.3809523809523</v>
      </c>
      <c r="H39" s="5">
        <f>DATA!H61</f>
        <v>1077.3809523809523</v>
      </c>
      <c r="I39" s="5">
        <f>DATA!I61</f>
        <v>1077.3809523809523</v>
      </c>
      <c r="J39" s="5">
        <f>DATA!J61</f>
        <v>1077.3809523809523</v>
      </c>
      <c r="K39" s="5">
        <f>DATA!K61</f>
        <v>1077.3809523809523</v>
      </c>
      <c r="L39" s="5">
        <f>DATA!L61</f>
        <v>1077.3809523809523</v>
      </c>
      <c r="M39" s="5">
        <f>DATA!M61</f>
        <v>1077.3809523809523</v>
      </c>
      <c r="N39" s="6">
        <f t="shared" si="4"/>
        <v>12928.571428571428</v>
      </c>
    </row>
    <row r="40" spans="1:14" x14ac:dyDescent="0.25">
      <c r="A40" s="4" t="s">
        <v>81</v>
      </c>
      <c r="B40" s="7">
        <f t="shared" ref="B40:M40" si="5">SUM(B21:B39)</f>
        <v>30657.550952380952</v>
      </c>
      <c r="C40" s="7">
        <f t="shared" si="5"/>
        <v>7413.3809523809523</v>
      </c>
      <c r="D40" s="7">
        <f t="shared" si="5"/>
        <v>7425.3809523809523</v>
      </c>
      <c r="E40" s="7">
        <f t="shared" si="5"/>
        <v>7438.4809523809527</v>
      </c>
      <c r="F40" s="7">
        <f t="shared" si="5"/>
        <v>7452.7909523809521</v>
      </c>
      <c r="G40" s="7">
        <f t="shared" si="5"/>
        <v>7468.4319523809527</v>
      </c>
      <c r="H40" s="7">
        <f t="shared" si="5"/>
        <v>7485.5370523809524</v>
      </c>
      <c r="I40" s="7">
        <f t="shared" si="5"/>
        <v>7504.2526623809526</v>
      </c>
      <c r="J40" s="7">
        <f t="shared" si="5"/>
        <v>7524.7398333809524</v>
      </c>
      <c r="K40" s="7">
        <f t="shared" si="5"/>
        <v>7547.1757214809522</v>
      </c>
      <c r="L40" s="7">
        <f t="shared" si="5"/>
        <v>7571.7551983909525</v>
      </c>
      <c r="M40" s="7">
        <f t="shared" si="5"/>
        <v>7598.6926229919527</v>
      </c>
      <c r="N40" s="7">
        <f t="shared" si="4"/>
        <v>113088.16980529242</v>
      </c>
    </row>
    <row r="42" spans="1:14" x14ac:dyDescent="0.25">
      <c r="A42" s="4" t="s">
        <v>82</v>
      </c>
      <c r="B42" s="9">
        <f t="shared" ref="B42:M42" si="6">B17-B40</f>
        <v>-32470.625952380953</v>
      </c>
      <c r="C42" s="9">
        <f t="shared" si="6"/>
        <v>-8899.3079627634106</v>
      </c>
      <c r="D42" s="9">
        <f t="shared" si="6"/>
        <v>-8572.047282786265</v>
      </c>
      <c r="E42" s="9">
        <f t="shared" si="6"/>
        <v>-8222.6737793147931</v>
      </c>
      <c r="F42" s="9">
        <f t="shared" si="6"/>
        <v>-7840.065898974457</v>
      </c>
      <c r="G42" s="9">
        <f t="shared" si="6"/>
        <v>-7412.4677090831101</v>
      </c>
      <c r="H42" s="9">
        <f t="shared" si="6"/>
        <v>-6449.3050330256137</v>
      </c>
      <c r="I42" s="9">
        <f t="shared" si="6"/>
        <v>-5951.6903730364893</v>
      </c>
      <c r="J42" s="9">
        <f t="shared" si="6"/>
        <v>-5415.399058233601</v>
      </c>
      <c r="K42" s="9">
        <f t="shared" si="6"/>
        <v>-4833.9555141522615</v>
      </c>
      <c r="L42" s="9">
        <f t="shared" si="6"/>
        <v>-4200.3054320163919</v>
      </c>
      <c r="M42" s="9">
        <f t="shared" si="6"/>
        <v>-3506.7289502776539</v>
      </c>
      <c r="N42" s="9">
        <f>SUM(B42:M42)</f>
        <v>-103774.57294604498</v>
      </c>
    </row>
    <row r="44" spans="1:14" x14ac:dyDescent="0.25">
      <c r="A44" t="s">
        <v>83</v>
      </c>
      <c r="B44" s="5">
        <f>N44/12</f>
        <v>0</v>
      </c>
      <c r="C44" s="5">
        <f>N44/12</f>
        <v>0</v>
      </c>
      <c r="D44" s="5">
        <f>N44/12</f>
        <v>0</v>
      </c>
      <c r="E44" s="5">
        <f>N44/12</f>
        <v>0</v>
      </c>
      <c r="F44" s="5">
        <f>N44/12</f>
        <v>0</v>
      </c>
      <c r="G44" s="5">
        <f>N44/12</f>
        <v>0</v>
      </c>
      <c r="H44" s="5">
        <f>N44/12</f>
        <v>0</v>
      </c>
      <c r="I44" s="5">
        <f>N44/12</f>
        <v>0</v>
      </c>
      <c r="J44" s="5">
        <f>N44/12</f>
        <v>0</v>
      </c>
      <c r="K44" s="5">
        <f>N44/12</f>
        <v>0</v>
      </c>
      <c r="L44" s="5">
        <f>N44/12</f>
        <v>0</v>
      </c>
      <c r="M44" s="5">
        <f>N44/12</f>
        <v>0</v>
      </c>
      <c r="N44" s="6">
        <f>IF(N42&lt;=0,0,N42*DATA!B51)</f>
        <v>0</v>
      </c>
    </row>
    <row r="46" spans="1:14" x14ac:dyDescent="0.25">
      <c r="A46" s="4" t="s">
        <v>84</v>
      </c>
      <c r="B46" s="8">
        <f t="shared" ref="B46:M46" si="7">B42-B44</f>
        <v>-32470.625952380953</v>
      </c>
      <c r="C46" s="8">
        <f t="shared" si="7"/>
        <v>-8899.3079627634106</v>
      </c>
      <c r="D46" s="8">
        <f t="shared" si="7"/>
        <v>-8572.047282786265</v>
      </c>
      <c r="E46" s="8">
        <f t="shared" si="7"/>
        <v>-8222.6737793147931</v>
      </c>
      <c r="F46" s="8">
        <f t="shared" si="7"/>
        <v>-7840.065898974457</v>
      </c>
      <c r="G46" s="8">
        <f t="shared" si="7"/>
        <v>-7412.4677090831101</v>
      </c>
      <c r="H46" s="8">
        <f t="shared" si="7"/>
        <v>-6449.3050330256137</v>
      </c>
      <c r="I46" s="8">
        <f t="shared" si="7"/>
        <v>-5951.6903730364893</v>
      </c>
      <c r="J46" s="8">
        <f t="shared" si="7"/>
        <v>-5415.399058233601</v>
      </c>
      <c r="K46" s="8">
        <f t="shared" si="7"/>
        <v>-4833.9555141522615</v>
      </c>
      <c r="L46" s="8">
        <f t="shared" si="7"/>
        <v>-4200.3054320163919</v>
      </c>
      <c r="M46" s="8">
        <f t="shared" si="7"/>
        <v>-3506.7289502776539</v>
      </c>
      <c r="N46" s="8">
        <f>SUM(B46:M46)</f>
        <v>-103774.57294604498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  <row r="52" spans="1:1" x14ac:dyDescent="0.25">
      <c r="A52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7" workbookViewId="0">
      <selection activeCell="A42" sqref="A42"/>
    </sheetView>
  </sheetViews>
  <sheetFormatPr defaultRowHeight="15" x14ac:dyDescent="0.25"/>
  <cols>
    <col min="1" max="1" width="40" bestFit="1" customWidth="1"/>
    <col min="2" max="10" width="10.5703125" bestFit="1" customWidth="1"/>
    <col min="11" max="12" width="9.28515625" bestFit="1" customWidth="1"/>
    <col min="13" max="13" width="11.7109375" bestFit="1" customWidth="1"/>
    <col min="14" max="14" width="9" bestFit="1" customWidth="1"/>
  </cols>
  <sheetData>
    <row r="1" spans="1:14" x14ac:dyDescent="0.25">
      <c r="A1" t="str">
        <f>DATA!B1</f>
        <v>Example Yoga Financial Projections</v>
      </c>
    </row>
    <row r="2" spans="1:14" x14ac:dyDescent="0.25">
      <c r="A2" t="s">
        <v>68</v>
      </c>
    </row>
    <row r="3" spans="1:14" x14ac:dyDescent="0.25">
      <c r="A3" t="s">
        <v>88</v>
      </c>
    </row>
    <row r="5" spans="1:14" x14ac:dyDescent="0.25">
      <c r="A5" t="s">
        <v>20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88</v>
      </c>
    </row>
    <row r="6" spans="1:14" x14ac:dyDescent="0.25">
      <c r="A6" s="4" t="s">
        <v>70</v>
      </c>
    </row>
    <row r="7" spans="1:14" x14ac:dyDescent="0.25">
      <c r="A7" t="s">
        <v>218</v>
      </c>
      <c r="B7" s="5">
        <f>RevenueModule!N40</f>
        <v>5556.7425690788796</v>
      </c>
      <c r="C7" s="5">
        <f>RevenueModule!O40</f>
        <v>6278.4367398740187</v>
      </c>
      <c r="D7" s="5">
        <f>RevenueModule!P40</f>
        <v>7071.8773776767921</v>
      </c>
      <c r="E7" s="5">
        <f>RevenueModule!Q40</f>
        <v>7946.0758223302037</v>
      </c>
      <c r="F7" s="5">
        <f>RevenueModule!R40</f>
        <v>8910.9694702026991</v>
      </c>
      <c r="G7" s="5">
        <f>RevenueModule!S40</f>
        <v>9977.5352533921814</v>
      </c>
      <c r="H7" s="5">
        <f>RevenueModule!T40</f>
        <v>11157.915090591021</v>
      </c>
      <c r="I7" s="5">
        <f>RevenueModule!U40</f>
        <v>12465.554750733536</v>
      </c>
      <c r="J7" s="5">
        <f>RevenueModule!V40</f>
        <v>13915.357725799982</v>
      </c>
      <c r="K7" s="5">
        <f>RevenueModule!W40</f>
        <v>15523.855882861437</v>
      </c>
      <c r="L7" s="5">
        <f>RevenueModule!X40</f>
        <v>17309.398859640085</v>
      </c>
      <c r="M7" s="5">
        <f>RevenueModule!Y40</f>
        <v>19292.364384790599</v>
      </c>
      <c r="N7" s="6">
        <f>SUM(B7:M7)</f>
        <v>135406.08392697145</v>
      </c>
    </row>
    <row r="8" spans="1:14" x14ac:dyDescent="0.25">
      <c r="A8" t="s">
        <v>215</v>
      </c>
      <c r="B8" s="5">
        <f>RevenueModule!N61+RevenueModule!N67</f>
        <v>955.36813554090008</v>
      </c>
      <c r="C8" s="5">
        <f>RevenueModule!O61+RevenueModule!O67</f>
        <v>955.36813554090008</v>
      </c>
      <c r="D8" s="5">
        <f>RevenueModule!P61+RevenueModule!P67</f>
        <v>955.36813554090008</v>
      </c>
      <c r="E8" s="5">
        <f>RevenueModule!Q61+RevenueModule!Q67</f>
        <v>955.36813554090008</v>
      </c>
      <c r="F8" s="5">
        <f>RevenueModule!R61+RevenueModule!R67</f>
        <v>955.36813554090008</v>
      </c>
      <c r="G8" s="5">
        <f>RevenueModule!S61+RevenueModule!S67</f>
        <v>955.36813554090008</v>
      </c>
      <c r="H8" s="5">
        <f>RevenueModule!T61+RevenueModule!T67</f>
        <v>955.36813554090008</v>
      </c>
      <c r="I8" s="5">
        <f>RevenueModule!U61+RevenueModule!U67</f>
        <v>955.36813554090008</v>
      </c>
      <c r="J8" s="5">
        <f>RevenueModule!V61+RevenueModule!V67</f>
        <v>955.36813554090008</v>
      </c>
      <c r="K8" s="5">
        <f>RevenueModule!W61+RevenueModule!W67</f>
        <v>955.36813554090008</v>
      </c>
      <c r="L8" s="5">
        <f>RevenueModule!X61+RevenueModule!X67</f>
        <v>955.36813554090008</v>
      </c>
      <c r="M8" s="5">
        <f>RevenueModule!Y61+RevenueModule!Y67</f>
        <v>955.36813554090008</v>
      </c>
      <c r="N8" s="6">
        <f>SUM(B8:M8)</f>
        <v>11464.417626490802</v>
      </c>
    </row>
    <row r="9" spans="1:14" x14ac:dyDescent="0.25">
      <c r="A9" t="s">
        <v>216</v>
      </c>
      <c r="B9" s="5">
        <f>RevenueModule!N80</f>
        <v>522.27717643449785</v>
      </c>
      <c r="C9" s="5">
        <f>RevenueModule!O80</f>
        <v>601.97026657621041</v>
      </c>
      <c r="D9" s="5">
        <f>RevenueModule!P80</f>
        <v>691.67326109225371</v>
      </c>
      <c r="E9" s="5">
        <f>RevenueModule!Q80</f>
        <v>792.79648809681635</v>
      </c>
      <c r="F9" s="5">
        <f>RevenueModule!R80</f>
        <v>906.93615656460554</v>
      </c>
      <c r="G9" s="5">
        <f>RevenueModule!S80</f>
        <v>1035.8998708061833</v>
      </c>
      <c r="H9" s="5">
        <f>RevenueModule!T80</f>
        <v>1181.7355695232666</v>
      </c>
      <c r="I9" s="5">
        <f>RevenueModule!U80</f>
        <v>1346.7643559371716</v>
      </c>
      <c r="J9" s="5">
        <f>RevenueModule!V80</f>
        <v>1533.61774858679</v>
      </c>
      <c r="K9" s="5">
        <f>RevenueModule!W80</f>
        <v>1745.279954082072</v>
      </c>
      <c r="L9" s="5">
        <f>RevenueModule!X80</f>
        <v>1985.1358445414839</v>
      </c>
      <c r="M9" s="5">
        <f>RevenueModule!Y80</f>
        <v>2257.025414962699</v>
      </c>
      <c r="N9" s="6">
        <f>SUM(B9:M9)</f>
        <v>14601.112107204051</v>
      </c>
    </row>
    <row r="10" spans="1:14" x14ac:dyDescent="0.25">
      <c r="A10" t="s">
        <v>217</v>
      </c>
      <c r="B10" s="5">
        <f>RevenueModule!N74</f>
        <v>499.03193812209497</v>
      </c>
      <c r="C10" s="5">
        <f>RevenueModule!O74</f>
        <v>574.95255213217899</v>
      </c>
      <c r="D10" s="5">
        <f>RevenueModule!P74</f>
        <v>660.37043920163967</v>
      </c>
      <c r="E10" s="5">
        <f>RevenueModule!Q74</f>
        <v>756.62036549900279</v>
      </c>
      <c r="F10" s="5">
        <f>RevenueModule!R74</f>
        <v>865.21232423072422</v>
      </c>
      <c r="G10" s="5">
        <f>RevenueModule!S74</f>
        <v>987.85552116528822</v>
      </c>
      <c r="H10" s="5">
        <f>RevenueModule!T74</f>
        <v>1126.4855677902196</v>
      </c>
      <c r="I10" s="5">
        <f>RevenueModule!U74</f>
        <v>1283.2953177285135</v>
      </c>
      <c r="J10" s="5">
        <f>RevenueModule!V74</f>
        <v>1460.7698407663252</v>
      </c>
      <c r="K10" s="5">
        <f>RevenueModule!W74</f>
        <v>1661.7260955347406</v>
      </c>
      <c r="L10" s="5">
        <f>RevenueModule!X74</f>
        <v>1889.357937623656</v>
      </c>
      <c r="M10" s="5">
        <f>RevenueModule!Y74</f>
        <v>2147.2871859102647</v>
      </c>
      <c r="N10" s="6">
        <f>SUM(B10:M10)</f>
        <v>13912.965085704649</v>
      </c>
    </row>
    <row r="11" spans="1:14" x14ac:dyDescent="0.25">
      <c r="A11" s="4" t="s">
        <v>71</v>
      </c>
      <c r="B11" s="8">
        <f t="shared" ref="B11:M11" si="0">SUM(B7:B10)</f>
        <v>7533.4198191763726</v>
      </c>
      <c r="C11" s="8">
        <f t="shared" si="0"/>
        <v>8410.7276941233085</v>
      </c>
      <c r="D11" s="8">
        <f t="shared" si="0"/>
        <v>9379.2892135115853</v>
      </c>
      <c r="E11" s="8">
        <f t="shared" si="0"/>
        <v>10450.860811466922</v>
      </c>
      <c r="F11" s="8">
        <f t="shared" si="0"/>
        <v>11638.486086538929</v>
      </c>
      <c r="G11" s="8">
        <f t="shared" si="0"/>
        <v>12956.658780904552</v>
      </c>
      <c r="H11" s="8">
        <f t="shared" si="0"/>
        <v>14421.504363445409</v>
      </c>
      <c r="I11" s="8">
        <f t="shared" si="0"/>
        <v>16050.982559940123</v>
      </c>
      <c r="J11" s="8">
        <f t="shared" si="0"/>
        <v>17865.113450694</v>
      </c>
      <c r="K11" s="8">
        <f t="shared" si="0"/>
        <v>19886.230068019147</v>
      </c>
      <c r="L11" s="8">
        <f t="shared" si="0"/>
        <v>22139.260777346124</v>
      </c>
      <c r="M11" s="8">
        <f t="shared" si="0"/>
        <v>24652.045121204461</v>
      </c>
      <c r="N11" s="8">
        <f>SUM(B11:M11)</f>
        <v>175384.57874637091</v>
      </c>
    </row>
    <row r="13" spans="1:14" x14ac:dyDescent="0.25">
      <c r="A13" t="s">
        <v>72</v>
      </c>
      <c r="B13" s="5">
        <f>DATA!N57</f>
        <v>281.70625753299242</v>
      </c>
      <c r="C13" s="5">
        <f>DATA!O57</f>
        <v>284.52332010832237</v>
      </c>
      <c r="D13" s="5">
        <f>DATA!P57</f>
        <v>287.36855330940557</v>
      </c>
      <c r="E13" s="5">
        <f>DATA!Q57</f>
        <v>290.2422388424996</v>
      </c>
      <c r="F13" s="5">
        <f>DATA!R57</f>
        <v>293.14466123092461</v>
      </c>
      <c r="G13" s="5">
        <f>DATA!S57</f>
        <v>296.07610784323384</v>
      </c>
      <c r="H13" s="5">
        <f>DATA!T57</f>
        <v>299.03686892166616</v>
      </c>
      <c r="I13" s="5">
        <f>DATA!U57</f>
        <v>302.02723761088282</v>
      </c>
      <c r="J13" s="5">
        <f>DATA!V57</f>
        <v>305.04750998699166</v>
      </c>
      <c r="K13" s="5">
        <f>DATA!W57</f>
        <v>308.09798508686157</v>
      </c>
      <c r="L13" s="5">
        <f>DATA!X57</f>
        <v>311.1789649377302</v>
      </c>
      <c r="M13" s="5">
        <f>DATA!Y57</f>
        <v>314.29075458710753</v>
      </c>
      <c r="N13" s="6">
        <f>SUM(B13:M13)</f>
        <v>3572.7404599986185</v>
      </c>
    </row>
    <row r="14" spans="1:14" x14ac:dyDescent="0.25">
      <c r="A14" t="s">
        <v>73</v>
      </c>
      <c r="B14" s="5">
        <f>DATA!N58</f>
        <v>2368.2349559601521</v>
      </c>
      <c r="C14" s="5">
        <f>DATA!O58</f>
        <v>2370.603190916112</v>
      </c>
      <c r="D14" s="5">
        <f>DATA!P58</f>
        <v>2372.9737941070275</v>
      </c>
      <c r="E14" s="5">
        <f>DATA!Q58</f>
        <v>2375.3467679011342</v>
      </c>
      <c r="F14" s="5">
        <f>DATA!R58</f>
        <v>2377.7221146690349</v>
      </c>
      <c r="G14" s="5">
        <f>DATA!S58</f>
        <v>2380.0998367837037</v>
      </c>
      <c r="H14" s="5">
        <f>DATA!T58</f>
        <v>2382.4799366204875</v>
      </c>
      <c r="I14" s="5">
        <f>DATA!U58</f>
        <v>2384.8624165571077</v>
      </c>
      <c r="J14" s="5">
        <f>DATA!V58</f>
        <v>2387.2472789736644</v>
      </c>
      <c r="K14" s="5">
        <f>DATA!W58</f>
        <v>2389.6345262526374</v>
      </c>
      <c r="L14" s="5">
        <f>DATA!X58</f>
        <v>2392.0241607788898</v>
      </c>
      <c r="M14" s="5">
        <f>DATA!Y58</f>
        <v>2394.4161849396683</v>
      </c>
      <c r="N14" s="6">
        <f>SUM(B14:M14)</f>
        <v>28575.64516445962</v>
      </c>
    </row>
    <row r="15" spans="1:14" x14ac:dyDescent="0.25">
      <c r="A15" s="4" t="s">
        <v>74</v>
      </c>
      <c r="B15" s="8">
        <f t="shared" ref="B15:M15" si="1">SUM(B13:B14)</f>
        <v>2649.9412134931445</v>
      </c>
      <c r="C15" s="8">
        <f t="shared" si="1"/>
        <v>2655.1265110244344</v>
      </c>
      <c r="D15" s="8">
        <f t="shared" si="1"/>
        <v>2660.3423474164329</v>
      </c>
      <c r="E15" s="8">
        <f t="shared" si="1"/>
        <v>2665.5890067436339</v>
      </c>
      <c r="F15" s="8">
        <f t="shared" si="1"/>
        <v>2670.8667758999595</v>
      </c>
      <c r="G15" s="8">
        <f t="shared" si="1"/>
        <v>2676.1759446269375</v>
      </c>
      <c r="H15" s="8">
        <f t="shared" si="1"/>
        <v>2681.5168055421536</v>
      </c>
      <c r="I15" s="8">
        <f t="shared" si="1"/>
        <v>2686.8896541679906</v>
      </c>
      <c r="J15" s="8">
        <f t="shared" si="1"/>
        <v>2692.2947889606562</v>
      </c>
      <c r="K15" s="8">
        <f t="shared" si="1"/>
        <v>2697.7325113394991</v>
      </c>
      <c r="L15" s="8">
        <f t="shared" si="1"/>
        <v>2703.20312571662</v>
      </c>
      <c r="M15" s="8">
        <f t="shared" si="1"/>
        <v>2708.7069395267758</v>
      </c>
      <c r="N15" s="8">
        <f>SUM(B15:M15)</f>
        <v>32148.385624458235</v>
      </c>
    </row>
    <row r="17" spans="1:14" x14ac:dyDescent="0.25">
      <c r="A17" s="4" t="s">
        <v>75</v>
      </c>
      <c r="B17" s="9">
        <f t="shared" ref="B17:M17" si="2">B11-B15</f>
        <v>4883.4786056832281</v>
      </c>
      <c r="C17" s="9">
        <f t="shared" si="2"/>
        <v>5755.6011830988737</v>
      </c>
      <c r="D17" s="9">
        <f t="shared" si="2"/>
        <v>6718.9468660951525</v>
      </c>
      <c r="E17" s="9">
        <f t="shared" si="2"/>
        <v>7785.2718047232884</v>
      </c>
      <c r="F17" s="9">
        <f t="shared" si="2"/>
        <v>8967.6193106389692</v>
      </c>
      <c r="G17" s="9">
        <f t="shared" si="2"/>
        <v>10280.482836277615</v>
      </c>
      <c r="H17" s="9">
        <f t="shared" si="2"/>
        <v>11739.987557903256</v>
      </c>
      <c r="I17" s="9">
        <f t="shared" si="2"/>
        <v>13364.092905772133</v>
      </c>
      <c r="J17" s="9">
        <f t="shared" si="2"/>
        <v>15172.818661733343</v>
      </c>
      <c r="K17" s="9">
        <f t="shared" si="2"/>
        <v>17188.497556679649</v>
      </c>
      <c r="L17" s="9">
        <f t="shared" si="2"/>
        <v>19436.057651629504</v>
      </c>
      <c r="M17" s="9">
        <f t="shared" si="2"/>
        <v>21943.338181677685</v>
      </c>
      <c r="N17" s="9">
        <f>SUM(B17:M17)</f>
        <v>143236.19312191269</v>
      </c>
    </row>
    <row r="18" spans="1:14" x14ac:dyDescent="0.25">
      <c r="A18" t="s">
        <v>76</v>
      </c>
      <c r="B18" s="2">
        <f t="shared" ref="B18:N18" si="3">IF(B11=0,0,B17/B11)</f>
        <v>0.6482419303451401</v>
      </c>
      <c r="C18" s="2">
        <f t="shared" si="3"/>
        <v>0.68431667180479416</v>
      </c>
      <c r="D18" s="2">
        <f t="shared" si="3"/>
        <v>0.71635991951458267</v>
      </c>
      <c r="E18" s="2">
        <f t="shared" si="3"/>
        <v>0.7449407226035496</v>
      </c>
      <c r="F18" s="2">
        <f t="shared" si="3"/>
        <v>0.77051424420319714</v>
      </c>
      <c r="G18" s="2">
        <f t="shared" si="3"/>
        <v>0.79345169230117651</v>
      </c>
      <c r="H18" s="2">
        <f t="shared" si="3"/>
        <v>0.81406122842918738</v>
      </c>
      <c r="I18" s="2">
        <f t="shared" si="3"/>
        <v>0.83260279274903071</v>
      </c>
      <c r="J18" s="2">
        <f t="shared" si="3"/>
        <v>0.84929875780575748</v>
      </c>
      <c r="K18" s="2">
        <f t="shared" si="3"/>
        <v>0.86434168255561084</v>
      </c>
      <c r="L18" s="2">
        <f t="shared" si="3"/>
        <v>0.87790002778761889</v>
      </c>
      <c r="M18" s="2">
        <f t="shared" si="3"/>
        <v>0.89012242488567894</v>
      </c>
      <c r="N18" s="10">
        <f t="shared" si="3"/>
        <v>0.8166977629718003</v>
      </c>
    </row>
    <row r="20" spans="1:14" x14ac:dyDescent="0.25">
      <c r="A20" s="4" t="s">
        <v>22</v>
      </c>
    </row>
    <row r="21" spans="1:14" x14ac:dyDescent="0.25">
      <c r="A21" t="str">
        <f>DATA!A34</f>
        <v>Accounting</v>
      </c>
      <c r="B21">
        <f>DATA!B34</f>
        <v>100</v>
      </c>
      <c r="C21">
        <f>DATA!C34</f>
        <v>101</v>
      </c>
      <c r="D21">
        <f>DATA!D34</f>
        <v>102</v>
      </c>
      <c r="E21">
        <f>DATA!E34</f>
        <v>103</v>
      </c>
      <c r="F21">
        <f>DATA!F34</f>
        <v>104</v>
      </c>
      <c r="G21">
        <f>DATA!G34</f>
        <v>105</v>
      </c>
      <c r="H21">
        <f>DATA!H34</f>
        <v>106</v>
      </c>
      <c r="I21">
        <f>DATA!I34</f>
        <v>107</v>
      </c>
      <c r="J21">
        <f>DATA!J34</f>
        <v>108</v>
      </c>
      <c r="K21">
        <f>DATA!K34</f>
        <v>109</v>
      </c>
      <c r="L21">
        <f>DATA!L34</f>
        <v>110</v>
      </c>
      <c r="M21">
        <f>DATA!M34</f>
        <v>111</v>
      </c>
      <c r="N21" s="6">
        <f t="shared" ref="N21:N40" si="4">SUM(B21:M21)</f>
        <v>1266</v>
      </c>
    </row>
    <row r="22" spans="1:14" x14ac:dyDescent="0.25">
      <c r="A22" t="str">
        <f>DATA!A35</f>
        <v>Advertising</v>
      </c>
      <c r="B22">
        <f>DATA!B35</f>
        <v>7000.17</v>
      </c>
      <c r="C22">
        <f>DATA!C35</f>
        <v>110.00000000000001</v>
      </c>
      <c r="D22">
        <f>DATA!D35</f>
        <v>121.00000000000003</v>
      </c>
      <c r="E22">
        <f>DATA!E35</f>
        <v>133.10000000000005</v>
      </c>
      <c r="F22">
        <f>DATA!F35</f>
        <v>146.41000000000008</v>
      </c>
      <c r="G22">
        <f>DATA!G35</f>
        <v>161.0510000000001</v>
      </c>
      <c r="H22">
        <f>DATA!H35</f>
        <v>177.15610000000012</v>
      </c>
      <c r="I22">
        <f>DATA!I35</f>
        <v>194.87171000000015</v>
      </c>
      <c r="J22">
        <f>DATA!J35</f>
        <v>214.3588810000002</v>
      </c>
      <c r="K22">
        <f>DATA!K35</f>
        <v>235.79476910000022</v>
      </c>
      <c r="L22">
        <f>DATA!L35</f>
        <v>259.37424601000026</v>
      </c>
      <c r="M22">
        <f>DATA!M35</f>
        <v>285.3116706110003</v>
      </c>
      <c r="N22" s="6">
        <f t="shared" si="4"/>
        <v>9038.5983767210018</v>
      </c>
    </row>
    <row r="23" spans="1:14" x14ac:dyDescent="0.25">
      <c r="A23" t="str">
        <f>DATA!A36</f>
        <v>Insurance</v>
      </c>
      <c r="B23">
        <f>DATA!B36</f>
        <v>6500</v>
      </c>
      <c r="C23">
        <f>DATA!C36</f>
        <v>0</v>
      </c>
      <c r="D23">
        <f>DATA!D36</f>
        <v>0</v>
      </c>
      <c r="E23">
        <f>DATA!E36</f>
        <v>0</v>
      </c>
      <c r="F23">
        <f>DATA!F36</f>
        <v>0</v>
      </c>
      <c r="G23">
        <f>DATA!G36</f>
        <v>0</v>
      </c>
      <c r="H23">
        <f>DATA!H36</f>
        <v>0</v>
      </c>
      <c r="I23">
        <f>DATA!I36</f>
        <v>0</v>
      </c>
      <c r="J23">
        <f>DATA!J36</f>
        <v>0</v>
      </c>
      <c r="K23">
        <f>DATA!K36</f>
        <v>0</v>
      </c>
      <c r="L23">
        <f>DATA!L36</f>
        <v>0</v>
      </c>
      <c r="M23">
        <f>DATA!M36</f>
        <v>0</v>
      </c>
      <c r="N23" s="6">
        <f t="shared" si="4"/>
        <v>6500</v>
      </c>
    </row>
    <row r="24" spans="1:14" x14ac:dyDescent="0.25">
      <c r="A24" t="str">
        <f>DATA!A37</f>
        <v>Legal/Professional Services</v>
      </c>
      <c r="B24">
        <f>DATA!B37</f>
        <v>9855</v>
      </c>
      <c r="C24">
        <f>DATA!C37</f>
        <v>0</v>
      </c>
      <c r="D24">
        <f>DATA!D37</f>
        <v>0</v>
      </c>
      <c r="E24">
        <f>DATA!E37</f>
        <v>0</v>
      </c>
      <c r="F24">
        <f>DATA!F37</f>
        <v>0</v>
      </c>
      <c r="G24">
        <f>DATA!G37</f>
        <v>0</v>
      </c>
      <c r="H24">
        <f>DATA!H37</f>
        <v>0</v>
      </c>
      <c r="I24">
        <f>DATA!I37</f>
        <v>0</v>
      </c>
      <c r="J24">
        <f>DATA!J37</f>
        <v>0</v>
      </c>
      <c r="K24">
        <f>DATA!K37</f>
        <v>0</v>
      </c>
      <c r="L24">
        <f>DATA!L37</f>
        <v>0</v>
      </c>
      <c r="M24">
        <f>DATA!M37</f>
        <v>0</v>
      </c>
      <c r="N24" s="6">
        <f t="shared" si="4"/>
        <v>9855</v>
      </c>
    </row>
    <row r="25" spans="1:14" x14ac:dyDescent="0.25">
      <c r="A25" t="str">
        <f>DATA!A38</f>
        <v>Licenses</v>
      </c>
      <c r="B25">
        <f>DATA!B38</f>
        <v>0</v>
      </c>
      <c r="C25">
        <f>DATA!C38</f>
        <v>0</v>
      </c>
      <c r="D25">
        <f>DATA!D38</f>
        <v>0</v>
      </c>
      <c r="E25">
        <f>DATA!E38</f>
        <v>0</v>
      </c>
      <c r="F25">
        <f>DATA!F38</f>
        <v>0</v>
      </c>
      <c r="G25">
        <f>DATA!G38</f>
        <v>0</v>
      </c>
      <c r="H25">
        <f>DATA!H38</f>
        <v>0</v>
      </c>
      <c r="I25">
        <f>DATA!I38</f>
        <v>0</v>
      </c>
      <c r="J25">
        <f>DATA!J38</f>
        <v>0</v>
      </c>
      <c r="K25">
        <f>DATA!K38</f>
        <v>0</v>
      </c>
      <c r="L25">
        <f>DATA!L38</f>
        <v>0</v>
      </c>
      <c r="M25">
        <f>DATA!M38</f>
        <v>0</v>
      </c>
      <c r="N25" s="6">
        <f t="shared" si="4"/>
        <v>0</v>
      </c>
    </row>
    <row r="26" spans="1:14" x14ac:dyDescent="0.25">
      <c r="A26" t="str">
        <f>DATA!A39</f>
        <v>Mindbody Transacation Fees</v>
      </c>
      <c r="B26">
        <f>DATA!B39</f>
        <v>300</v>
      </c>
      <c r="C26">
        <f>DATA!C39</f>
        <v>300</v>
      </c>
      <c r="D26">
        <f>DATA!D39</f>
        <v>300</v>
      </c>
      <c r="E26">
        <f>DATA!E39</f>
        <v>300</v>
      </c>
      <c r="F26">
        <f>DATA!F39</f>
        <v>300</v>
      </c>
      <c r="G26">
        <f>DATA!G39</f>
        <v>300</v>
      </c>
      <c r="H26">
        <f>DATA!H39</f>
        <v>300</v>
      </c>
      <c r="I26">
        <f>DATA!I39</f>
        <v>300</v>
      </c>
      <c r="J26">
        <f>DATA!J39</f>
        <v>300</v>
      </c>
      <c r="K26">
        <f>DATA!K39</f>
        <v>300</v>
      </c>
      <c r="L26">
        <f>DATA!L39</f>
        <v>300</v>
      </c>
      <c r="M26">
        <f>DATA!M39</f>
        <v>300</v>
      </c>
      <c r="N26" s="6">
        <f t="shared" si="4"/>
        <v>3600</v>
      </c>
    </row>
    <row r="27" spans="1:14" x14ac:dyDescent="0.25">
      <c r="A27" t="str">
        <f>DATA!A40</f>
        <v>Mindbody Software</v>
      </c>
      <c r="B27">
        <f>DATA!B40</f>
        <v>125</v>
      </c>
      <c r="C27">
        <f>DATA!C40</f>
        <v>125</v>
      </c>
      <c r="D27">
        <f>DATA!D40</f>
        <v>125</v>
      </c>
      <c r="E27">
        <f>DATA!E40</f>
        <v>125</v>
      </c>
      <c r="F27">
        <f>DATA!F40</f>
        <v>125</v>
      </c>
      <c r="G27">
        <f>DATA!G40</f>
        <v>125</v>
      </c>
      <c r="H27">
        <f>DATA!H40</f>
        <v>125</v>
      </c>
      <c r="I27">
        <f>DATA!I40</f>
        <v>125</v>
      </c>
      <c r="J27">
        <f>DATA!J40</f>
        <v>125</v>
      </c>
      <c r="K27">
        <f>DATA!K40</f>
        <v>125</v>
      </c>
      <c r="L27">
        <f>DATA!L40</f>
        <v>125</v>
      </c>
      <c r="M27">
        <f>DATA!M40</f>
        <v>125</v>
      </c>
      <c r="N27" s="6">
        <f t="shared" si="4"/>
        <v>1500</v>
      </c>
    </row>
    <row r="28" spans="1:14" x14ac:dyDescent="0.25">
      <c r="A28" t="str">
        <f>DATA!A41</f>
        <v>Paper Goods</v>
      </c>
      <c r="B28">
        <f>DATA!B41</f>
        <v>50</v>
      </c>
      <c r="C28">
        <f>DATA!C41</f>
        <v>50</v>
      </c>
      <c r="D28">
        <f>DATA!D41</f>
        <v>50</v>
      </c>
      <c r="E28">
        <f>DATA!E41</f>
        <v>50</v>
      </c>
      <c r="F28">
        <f>DATA!F41</f>
        <v>50</v>
      </c>
      <c r="G28">
        <f>DATA!G41</f>
        <v>50</v>
      </c>
      <c r="H28">
        <f>DATA!H41</f>
        <v>50</v>
      </c>
      <c r="I28">
        <f>DATA!I41</f>
        <v>50</v>
      </c>
      <c r="J28">
        <f>DATA!J41</f>
        <v>50</v>
      </c>
      <c r="K28">
        <f>DATA!K41</f>
        <v>50</v>
      </c>
      <c r="L28">
        <f>DATA!L41</f>
        <v>50</v>
      </c>
      <c r="M28">
        <f>DATA!M41</f>
        <v>50</v>
      </c>
      <c r="N28" s="6">
        <f t="shared" si="4"/>
        <v>600</v>
      </c>
    </row>
    <row r="29" spans="1:14" x14ac:dyDescent="0.25">
      <c r="A29" t="str">
        <f>DATA!A42</f>
        <v>Rent</v>
      </c>
      <c r="B29">
        <f>DATA!B42</f>
        <v>4875</v>
      </c>
      <c r="C29">
        <f>DATA!C42</f>
        <v>4875</v>
      </c>
      <c r="D29">
        <f>DATA!D42</f>
        <v>4875</v>
      </c>
      <c r="E29">
        <f>DATA!E42</f>
        <v>4875</v>
      </c>
      <c r="F29">
        <f>DATA!F42</f>
        <v>4875</v>
      </c>
      <c r="G29">
        <f>DATA!G42</f>
        <v>4875</v>
      </c>
      <c r="H29">
        <f>DATA!H42</f>
        <v>4875</v>
      </c>
      <c r="I29">
        <f>DATA!I42</f>
        <v>4875</v>
      </c>
      <c r="J29">
        <f>DATA!J42</f>
        <v>4875</v>
      </c>
      <c r="K29">
        <f>DATA!K42</f>
        <v>4875</v>
      </c>
      <c r="L29">
        <f>DATA!L42</f>
        <v>4875</v>
      </c>
      <c r="M29">
        <f>DATA!M42</f>
        <v>4875</v>
      </c>
      <c r="N29" s="6">
        <f t="shared" si="4"/>
        <v>58500</v>
      </c>
    </row>
    <row r="30" spans="1:14" x14ac:dyDescent="0.25">
      <c r="A30" t="str">
        <f>DATA!A43</f>
        <v>Tea</v>
      </c>
      <c r="B30">
        <f>DATA!B43</f>
        <v>100</v>
      </c>
      <c r="C30">
        <f>DATA!C43</f>
        <v>100</v>
      </c>
      <c r="D30">
        <f>DATA!D43</f>
        <v>100</v>
      </c>
      <c r="E30">
        <f>DATA!E43</f>
        <v>100</v>
      </c>
      <c r="F30">
        <f>DATA!F43</f>
        <v>100</v>
      </c>
      <c r="G30">
        <f>DATA!G43</f>
        <v>100</v>
      </c>
      <c r="H30">
        <f>DATA!H43</f>
        <v>100</v>
      </c>
      <c r="I30">
        <f>DATA!I43</f>
        <v>100</v>
      </c>
      <c r="J30">
        <f>DATA!J43</f>
        <v>100</v>
      </c>
      <c r="K30">
        <f>DATA!K43</f>
        <v>100</v>
      </c>
      <c r="L30">
        <f>DATA!L43</f>
        <v>100</v>
      </c>
      <c r="M30">
        <f>DATA!M43</f>
        <v>100</v>
      </c>
      <c r="N30" s="6">
        <f t="shared" si="4"/>
        <v>1200</v>
      </c>
    </row>
    <row r="31" spans="1:14" x14ac:dyDescent="0.25">
      <c r="A31" t="str">
        <f>DATA!A44</f>
        <v>Telephone</v>
      </c>
      <c r="B31">
        <f>DATA!B44</f>
        <v>100</v>
      </c>
      <c r="C31">
        <f>DATA!C44</f>
        <v>100</v>
      </c>
      <c r="D31">
        <f>DATA!D44</f>
        <v>100</v>
      </c>
      <c r="E31">
        <f>DATA!E44</f>
        <v>100</v>
      </c>
      <c r="F31">
        <f>DATA!F44</f>
        <v>100</v>
      </c>
      <c r="G31">
        <f>DATA!G44</f>
        <v>100</v>
      </c>
      <c r="H31">
        <f>DATA!H44</f>
        <v>100</v>
      </c>
      <c r="I31">
        <f>DATA!I44</f>
        <v>100</v>
      </c>
      <c r="J31">
        <f>DATA!J44</f>
        <v>100</v>
      </c>
      <c r="K31">
        <f>DATA!K44</f>
        <v>100</v>
      </c>
      <c r="L31">
        <f>DATA!L44</f>
        <v>100</v>
      </c>
      <c r="M31">
        <f>DATA!M44</f>
        <v>100</v>
      </c>
      <c r="N31" s="6">
        <f t="shared" si="4"/>
        <v>1200</v>
      </c>
    </row>
    <row r="32" spans="1:14" x14ac:dyDescent="0.25">
      <c r="A32" t="str">
        <f>DATA!A45</f>
        <v>Towel Service</v>
      </c>
      <c r="B32">
        <f>DATA!B45</f>
        <v>300</v>
      </c>
      <c r="C32">
        <f>DATA!C45</f>
        <v>300</v>
      </c>
      <c r="D32">
        <f>DATA!D45</f>
        <v>300</v>
      </c>
      <c r="E32">
        <f>DATA!E45</f>
        <v>300</v>
      </c>
      <c r="F32">
        <f>DATA!F45</f>
        <v>300</v>
      </c>
      <c r="G32">
        <f>DATA!G45</f>
        <v>300</v>
      </c>
      <c r="H32">
        <f>DATA!H45</f>
        <v>300</v>
      </c>
      <c r="I32">
        <f>DATA!I45</f>
        <v>300</v>
      </c>
      <c r="J32">
        <f>DATA!J45</f>
        <v>300</v>
      </c>
      <c r="K32">
        <f>DATA!K45</f>
        <v>300</v>
      </c>
      <c r="L32">
        <f>DATA!L45</f>
        <v>300</v>
      </c>
      <c r="M32">
        <f>DATA!M45</f>
        <v>300</v>
      </c>
      <c r="N32" s="6">
        <f t="shared" si="4"/>
        <v>3600</v>
      </c>
    </row>
    <row r="33" spans="1:14" x14ac:dyDescent="0.25">
      <c r="A33" t="str">
        <f>DATA!A46</f>
        <v>Utilities</v>
      </c>
      <c r="B33">
        <f>DATA!B46</f>
        <v>200</v>
      </c>
      <c r="C33">
        <f>DATA!C46</f>
        <v>200</v>
      </c>
      <c r="D33">
        <f>DATA!D46</f>
        <v>200</v>
      </c>
      <c r="E33">
        <f>DATA!E46</f>
        <v>200</v>
      </c>
      <c r="F33">
        <f>DATA!F46</f>
        <v>200</v>
      </c>
      <c r="G33">
        <f>DATA!G46</f>
        <v>200</v>
      </c>
      <c r="H33">
        <f>DATA!H46</f>
        <v>200</v>
      </c>
      <c r="I33">
        <f>DATA!I46</f>
        <v>200</v>
      </c>
      <c r="J33">
        <f>DATA!J46</f>
        <v>200</v>
      </c>
      <c r="K33">
        <f>DATA!K46</f>
        <v>200</v>
      </c>
      <c r="L33">
        <f>DATA!L46</f>
        <v>200</v>
      </c>
      <c r="M33">
        <f>DATA!M46</f>
        <v>200</v>
      </c>
      <c r="N33" s="6">
        <f t="shared" si="4"/>
        <v>2400</v>
      </c>
    </row>
    <row r="34" spans="1:14" x14ac:dyDescent="0.25">
      <c r="A34" t="str">
        <f>DATA!A47</f>
        <v>Wifi</v>
      </c>
      <c r="B34">
        <f>DATA!B47</f>
        <v>50</v>
      </c>
      <c r="C34">
        <f>DATA!C47</f>
        <v>50</v>
      </c>
      <c r="D34">
        <f>DATA!D47</f>
        <v>50</v>
      </c>
      <c r="E34">
        <f>DATA!E47</f>
        <v>50</v>
      </c>
      <c r="F34">
        <f>DATA!F47</f>
        <v>50</v>
      </c>
      <c r="G34">
        <f>DATA!G47</f>
        <v>50</v>
      </c>
      <c r="H34">
        <f>DATA!H47</f>
        <v>50</v>
      </c>
      <c r="I34">
        <f>DATA!I47</f>
        <v>50</v>
      </c>
      <c r="J34">
        <f>DATA!J47</f>
        <v>50</v>
      </c>
      <c r="K34">
        <f>DATA!K47</f>
        <v>50</v>
      </c>
      <c r="L34">
        <f>DATA!L47</f>
        <v>50</v>
      </c>
      <c r="M34">
        <f>DATA!M47</f>
        <v>50</v>
      </c>
      <c r="N34" s="6">
        <f t="shared" si="4"/>
        <v>600</v>
      </c>
    </row>
    <row r="35" spans="1:14" x14ac:dyDescent="0.25">
      <c r="A35" t="str">
        <f>DATA!A48</f>
        <v>Water</v>
      </c>
      <c r="B35">
        <f>DATA!B48</f>
        <v>25</v>
      </c>
      <c r="C35">
        <f>DATA!C48</f>
        <v>25</v>
      </c>
      <c r="D35">
        <f>DATA!D48</f>
        <v>25</v>
      </c>
      <c r="E35">
        <f>DATA!E48</f>
        <v>25</v>
      </c>
      <c r="F35">
        <f>DATA!F48</f>
        <v>25</v>
      </c>
      <c r="G35">
        <f>DATA!G48</f>
        <v>25</v>
      </c>
      <c r="H35">
        <f>DATA!H48</f>
        <v>25</v>
      </c>
      <c r="I35">
        <f>DATA!I48</f>
        <v>25</v>
      </c>
      <c r="J35">
        <f>DATA!J48</f>
        <v>25</v>
      </c>
      <c r="K35">
        <f>DATA!K48</f>
        <v>25</v>
      </c>
      <c r="L35">
        <f>DATA!L48</f>
        <v>25</v>
      </c>
      <c r="M35">
        <f>DATA!M48</f>
        <v>25</v>
      </c>
      <c r="N35" s="6">
        <f t="shared" si="4"/>
        <v>300</v>
      </c>
    </row>
    <row r="36" spans="1:14" x14ac:dyDescent="0.25">
      <c r="A36" t="s">
        <v>77</v>
      </c>
      <c r="B36" s="5">
        <f>SalaryModule!N12</f>
        <v>0</v>
      </c>
      <c r="C36" s="5">
        <f>SalaryModule!O12</f>
        <v>0</v>
      </c>
      <c r="D36" s="5">
        <f>SalaryModule!P12</f>
        <v>0</v>
      </c>
      <c r="E36" s="5">
        <f>SalaryModule!Q12</f>
        <v>0</v>
      </c>
      <c r="F36" s="5">
        <f>SalaryModule!R12</f>
        <v>0</v>
      </c>
      <c r="G36" s="5">
        <f>SalaryModule!S12</f>
        <v>0</v>
      </c>
      <c r="H36" s="5">
        <f>SalaryModule!T12</f>
        <v>0</v>
      </c>
      <c r="I36" s="5">
        <f>SalaryModule!U12</f>
        <v>0</v>
      </c>
      <c r="J36" s="5">
        <f>SalaryModule!V12</f>
        <v>0</v>
      </c>
      <c r="K36" s="5">
        <f>SalaryModule!W12</f>
        <v>0</v>
      </c>
      <c r="L36" s="5">
        <f>SalaryModule!X12</f>
        <v>0</v>
      </c>
      <c r="M36" s="5">
        <f>SalaryModule!Y12</f>
        <v>0</v>
      </c>
      <c r="N36" s="6">
        <f t="shared" si="4"/>
        <v>0</v>
      </c>
    </row>
    <row r="37" spans="1:14" x14ac:dyDescent="0.25">
      <c r="A37" t="s">
        <v>78</v>
      </c>
      <c r="B37" s="5">
        <f>LoanModule!D21</f>
        <v>0</v>
      </c>
      <c r="C37" s="5">
        <f>LoanModule!D22</f>
        <v>0</v>
      </c>
      <c r="D37" s="5">
        <f>LoanModule!D23</f>
        <v>0</v>
      </c>
      <c r="E37" s="5">
        <f>LoanModule!D24</f>
        <v>0</v>
      </c>
      <c r="F37" s="5">
        <f>LoanModule!D25</f>
        <v>0</v>
      </c>
      <c r="G37" s="5">
        <f>LoanModule!D26</f>
        <v>0</v>
      </c>
      <c r="H37" s="5">
        <f>LoanModule!D27</f>
        <v>0</v>
      </c>
      <c r="I37" s="5">
        <f>LoanModule!D28</f>
        <v>0</v>
      </c>
      <c r="J37" s="5">
        <f>LoanModule!D29</f>
        <v>0</v>
      </c>
      <c r="K37" s="5">
        <f>LoanModule!D30</f>
        <v>0</v>
      </c>
      <c r="L37" s="5">
        <f>LoanModule!D31</f>
        <v>0</v>
      </c>
      <c r="M37" s="5">
        <f>LoanModule!D32</f>
        <v>0</v>
      </c>
      <c r="N37" s="6">
        <f t="shared" si="4"/>
        <v>0</v>
      </c>
    </row>
    <row r="38" spans="1:14" x14ac:dyDescent="0.25">
      <c r="A38" t="s">
        <v>79</v>
      </c>
      <c r="B38" s="5">
        <f>DATA!B50*DATA!N56</f>
        <v>0</v>
      </c>
      <c r="C38" s="5">
        <f>DATA!B50*DATA!O56</f>
        <v>0</v>
      </c>
      <c r="D38" s="5">
        <f>DATA!B50*DATA!P56</f>
        <v>0</v>
      </c>
      <c r="E38" s="5">
        <f>DATA!B50*DATA!Q56</f>
        <v>0</v>
      </c>
      <c r="F38" s="5">
        <f>DATA!B50*DATA!R56</f>
        <v>0</v>
      </c>
      <c r="G38" s="5">
        <f>DATA!B50*DATA!S56</f>
        <v>0</v>
      </c>
      <c r="H38" s="5">
        <f>DATA!B50*DATA!T56</f>
        <v>0</v>
      </c>
      <c r="I38" s="5">
        <f>DATA!B50*DATA!U56</f>
        <v>0</v>
      </c>
      <c r="J38" s="5">
        <f>DATA!B50*DATA!V56</f>
        <v>0</v>
      </c>
      <c r="K38" s="5">
        <f>DATA!B50*DATA!W56</f>
        <v>0</v>
      </c>
      <c r="L38" s="5">
        <f>DATA!B50*DATA!X56</f>
        <v>0</v>
      </c>
      <c r="M38" s="5">
        <f>DATA!B50*DATA!Y56</f>
        <v>0</v>
      </c>
      <c r="N38" s="6">
        <f t="shared" si="4"/>
        <v>0</v>
      </c>
    </row>
    <row r="39" spans="1:14" x14ac:dyDescent="0.25">
      <c r="A39" t="s">
        <v>80</v>
      </c>
      <c r="B39" s="5">
        <f>DATA!N61</f>
        <v>1077.3809523809523</v>
      </c>
      <c r="C39" s="5">
        <f>DATA!O61</f>
        <v>1077.3809523809523</v>
      </c>
      <c r="D39" s="5">
        <f>DATA!P61</f>
        <v>1077.3809523809523</v>
      </c>
      <c r="E39" s="5">
        <f>DATA!Q61</f>
        <v>1077.3809523809523</v>
      </c>
      <c r="F39" s="5">
        <f>DATA!R61</f>
        <v>1077.3809523809523</v>
      </c>
      <c r="G39" s="5">
        <f>DATA!S61</f>
        <v>1077.3809523809523</v>
      </c>
      <c r="H39" s="5">
        <f>DATA!T61</f>
        <v>1077.3809523809523</v>
      </c>
      <c r="I39" s="5">
        <f>DATA!U61</f>
        <v>1077.3809523809523</v>
      </c>
      <c r="J39" s="5">
        <f>DATA!V61</f>
        <v>1077.3809523809523</v>
      </c>
      <c r="K39" s="5">
        <f>DATA!W61</f>
        <v>1077.3809523809523</v>
      </c>
      <c r="L39" s="5">
        <f>DATA!X61</f>
        <v>1077.3809523809523</v>
      </c>
      <c r="M39" s="5">
        <f>DATA!Y61</f>
        <v>1077.3809523809523</v>
      </c>
      <c r="N39" s="6">
        <f t="shared" si="4"/>
        <v>12928.571428571428</v>
      </c>
    </row>
    <row r="40" spans="1:14" x14ac:dyDescent="0.25">
      <c r="A40" s="4" t="s">
        <v>81</v>
      </c>
      <c r="B40" s="7">
        <f t="shared" ref="B40:M40" si="5">SUM(B21:B39)</f>
        <v>30657.550952380952</v>
      </c>
      <c r="C40" s="7">
        <f t="shared" si="5"/>
        <v>7413.3809523809523</v>
      </c>
      <c r="D40" s="7">
        <f t="shared" si="5"/>
        <v>7425.3809523809523</v>
      </c>
      <c r="E40" s="7">
        <f t="shared" si="5"/>
        <v>7438.4809523809527</v>
      </c>
      <c r="F40" s="7">
        <f t="shared" si="5"/>
        <v>7452.7909523809521</v>
      </c>
      <c r="G40" s="7">
        <f t="shared" si="5"/>
        <v>7468.4319523809527</v>
      </c>
      <c r="H40" s="7">
        <f t="shared" si="5"/>
        <v>7485.5370523809524</v>
      </c>
      <c r="I40" s="7">
        <f t="shared" si="5"/>
        <v>7504.2526623809526</v>
      </c>
      <c r="J40" s="7">
        <f t="shared" si="5"/>
        <v>7524.7398333809524</v>
      </c>
      <c r="K40" s="7">
        <f t="shared" si="5"/>
        <v>7547.1757214809522</v>
      </c>
      <c r="L40" s="7">
        <f t="shared" si="5"/>
        <v>7571.7551983909525</v>
      </c>
      <c r="M40" s="7">
        <f t="shared" si="5"/>
        <v>7598.6926229919527</v>
      </c>
      <c r="N40" s="7">
        <f t="shared" si="4"/>
        <v>113088.16980529242</v>
      </c>
    </row>
    <row r="42" spans="1:14" x14ac:dyDescent="0.25">
      <c r="A42" s="4" t="s">
        <v>82</v>
      </c>
      <c r="B42" s="9">
        <f t="shared" ref="B42:M42" si="6">B17-B40</f>
        <v>-25774.072346697725</v>
      </c>
      <c r="C42" s="9">
        <f t="shared" si="6"/>
        <v>-1657.7797692820786</v>
      </c>
      <c r="D42" s="9">
        <f t="shared" si="6"/>
        <v>-706.43408628579982</v>
      </c>
      <c r="E42" s="9">
        <f t="shared" si="6"/>
        <v>346.79085234233571</v>
      </c>
      <c r="F42" s="9">
        <f t="shared" si="6"/>
        <v>1514.828358258017</v>
      </c>
      <c r="G42" s="9">
        <f t="shared" si="6"/>
        <v>2812.0508838966625</v>
      </c>
      <c r="H42" s="9">
        <f t="shared" si="6"/>
        <v>4254.4505055223035</v>
      </c>
      <c r="I42" s="9">
        <f t="shared" si="6"/>
        <v>5859.8402433911806</v>
      </c>
      <c r="J42" s="9">
        <f t="shared" si="6"/>
        <v>7648.0788283523907</v>
      </c>
      <c r="K42" s="9">
        <f t="shared" si="6"/>
        <v>9641.321835198698</v>
      </c>
      <c r="L42" s="9">
        <f t="shared" si="6"/>
        <v>11864.302453238552</v>
      </c>
      <c r="M42" s="9">
        <f t="shared" si="6"/>
        <v>14344.645558685734</v>
      </c>
      <c r="N42" s="9">
        <f>SUM(B42:M42)</f>
        <v>30148.023316620267</v>
      </c>
    </row>
    <row r="44" spans="1:14" x14ac:dyDescent="0.25">
      <c r="A44" t="s">
        <v>83</v>
      </c>
      <c r="B44" s="5">
        <f>N44/12</f>
        <v>25.123352763850221</v>
      </c>
      <c r="C44" s="5">
        <f>N44/12</f>
        <v>25.123352763850221</v>
      </c>
      <c r="D44" s="5">
        <f>N44/12</f>
        <v>25.123352763850221</v>
      </c>
      <c r="E44" s="5">
        <f>N44/12</f>
        <v>25.123352763850221</v>
      </c>
      <c r="F44" s="5">
        <f>N44/12</f>
        <v>25.123352763850221</v>
      </c>
      <c r="G44" s="5">
        <f>N44/12</f>
        <v>25.123352763850221</v>
      </c>
      <c r="H44" s="5">
        <f>N44/12</f>
        <v>25.123352763850221</v>
      </c>
      <c r="I44" s="5">
        <f>N44/12</f>
        <v>25.123352763850221</v>
      </c>
      <c r="J44" s="5">
        <f>N44/12</f>
        <v>25.123352763850221</v>
      </c>
      <c r="K44" s="5">
        <f>N44/12</f>
        <v>25.123352763850221</v>
      </c>
      <c r="L44" s="5">
        <f>N44/12</f>
        <v>25.123352763850221</v>
      </c>
      <c r="M44" s="5">
        <f>N44/12</f>
        <v>25.123352763850221</v>
      </c>
      <c r="N44" s="6">
        <f>IF(N42&lt;=0,0,N42*DATA!B51)</f>
        <v>301.48023316620265</v>
      </c>
    </row>
    <row r="46" spans="1:14" x14ac:dyDescent="0.25">
      <c r="A46" s="4" t="s">
        <v>84</v>
      </c>
      <c r="B46" s="8">
        <f t="shared" ref="B46:M46" si="7">B42-B44</f>
        <v>-25799.195699461576</v>
      </c>
      <c r="C46" s="8">
        <f t="shared" si="7"/>
        <v>-1682.9031220459287</v>
      </c>
      <c r="D46" s="8">
        <f t="shared" si="7"/>
        <v>-731.55743904965004</v>
      </c>
      <c r="E46" s="8">
        <f t="shared" si="7"/>
        <v>321.66749957848549</v>
      </c>
      <c r="F46" s="8">
        <f t="shared" si="7"/>
        <v>1489.7050054941669</v>
      </c>
      <c r="G46" s="8">
        <f t="shared" si="7"/>
        <v>2786.9275311328124</v>
      </c>
      <c r="H46" s="8">
        <f t="shared" si="7"/>
        <v>4229.3271527584529</v>
      </c>
      <c r="I46" s="8">
        <f t="shared" si="7"/>
        <v>5834.71689062733</v>
      </c>
      <c r="J46" s="8">
        <f t="shared" si="7"/>
        <v>7622.9554755885401</v>
      </c>
      <c r="K46" s="8">
        <f t="shared" si="7"/>
        <v>9616.1984824348474</v>
      </c>
      <c r="L46" s="8">
        <f t="shared" si="7"/>
        <v>11839.179100474701</v>
      </c>
      <c r="M46" s="8">
        <f t="shared" si="7"/>
        <v>14319.522205921883</v>
      </c>
      <c r="N46" s="8">
        <f>SUM(B46:M46)</f>
        <v>29846.543083454068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  <row r="52" spans="1:1" x14ac:dyDescent="0.25">
      <c r="A52">
        <v>1234567890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ProjectionHub</vt:lpstr>
      <vt:lpstr>DATA</vt:lpstr>
      <vt:lpstr>RevenueModule</vt:lpstr>
      <vt:lpstr>LoanModule</vt:lpstr>
      <vt:lpstr>SalaryModule</vt:lpstr>
      <vt:lpstr>StartupCosts</vt:lpstr>
      <vt:lpstr>StartupDetails</vt:lpstr>
      <vt:lpstr>IncomeStatement_Year1</vt:lpstr>
      <vt:lpstr>IncomeStatement_Year2</vt:lpstr>
      <vt:lpstr>IncomeStatement_Year3</vt:lpstr>
      <vt:lpstr>CashFlowStatement_Year1</vt:lpstr>
      <vt:lpstr>CashFlowStatement_Year2</vt:lpstr>
      <vt:lpstr>CashFlowStatement_Year3</vt:lpstr>
      <vt:lpstr>BalanceSheet_Year1</vt:lpstr>
      <vt:lpstr>BalanceSheet_Year2</vt:lpstr>
      <vt:lpstr>BalanceSheet_Year3</vt:lpstr>
      <vt:lpstr>AnnualSummary</vt:lpstr>
      <vt:lpstr>Graphs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ProjectionHub</dc:creator>
  <cp:keywords>office 2007 openxml php</cp:keywords>
  <dc:description>Test document for Office 2007 XLSX, generated using PHP classes.</dc:description>
  <cp:lastModifiedBy>Adam</cp:lastModifiedBy>
  <dcterms:created xsi:type="dcterms:W3CDTF">2014-06-14T20:47:18Z</dcterms:created>
  <dcterms:modified xsi:type="dcterms:W3CDTF">2017-08-14T19:45:04Z</dcterms:modified>
  <cp:category>Financial Projections</cp:category>
</cp:coreProperties>
</file>